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95" yWindow="0" windowWidth="26760" windowHeight="12165" tabRatio="783"/>
  </bookViews>
  <sheets>
    <sheet name="Boiler Oil" sheetId="8" r:id="rId1"/>
  </sheets>
  <definedNames>
    <definedName name="_xlnm.Print_Area" localSheetId="0">'Boiler Oil'!$A$1:$F$61</definedName>
  </definedNames>
  <calcPr calcId="145621"/>
</workbook>
</file>

<file path=xl/calcChain.xml><?xml version="1.0" encoding="utf-8"?>
<calcChain xmlns="http://schemas.openxmlformats.org/spreadsheetml/2006/main">
  <c r="B6" i="8" l="1"/>
  <c r="C9" i="8" l="1"/>
  <c r="C33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2" i="8"/>
  <c r="C31" i="8"/>
  <c r="C24" i="8"/>
  <c r="C18" i="8"/>
  <c r="C23" i="8"/>
  <c r="C14" i="8"/>
  <c r="C13" i="8"/>
  <c r="P196" i="8"/>
  <c r="Q196" i="8" s="1"/>
  <c r="R196" i="8" s="1"/>
  <c r="P195" i="8"/>
  <c r="L195" i="8" s="1"/>
  <c r="P194" i="8"/>
  <c r="Q194" i="8" s="1"/>
  <c r="R194" i="8" s="1"/>
  <c r="P193" i="8"/>
  <c r="L193" i="8" s="1"/>
  <c r="P192" i="8"/>
  <c r="L192" i="8" s="1"/>
  <c r="P191" i="8"/>
  <c r="L191" i="8" s="1"/>
  <c r="P190" i="8"/>
  <c r="Q190" i="8" s="1"/>
  <c r="R190" i="8" s="1"/>
  <c r="P189" i="8"/>
  <c r="L189" i="8" s="1"/>
  <c r="P188" i="8"/>
  <c r="L188" i="8" s="1"/>
  <c r="Q195" i="8"/>
  <c r="R195" i="8" s="1"/>
  <c r="Q191" i="8"/>
  <c r="R191" i="8" s="1"/>
  <c r="P184" i="8"/>
  <c r="Q184" i="8" s="1"/>
  <c r="R184" i="8" s="1"/>
  <c r="P183" i="8"/>
  <c r="Q183" i="8" s="1"/>
  <c r="R183" i="8" s="1"/>
  <c r="P182" i="8"/>
  <c r="Q182" i="8" s="1"/>
  <c r="R182" i="8" s="1"/>
  <c r="P181" i="8"/>
  <c r="Q181" i="8" s="1"/>
  <c r="R181" i="8" s="1"/>
  <c r="P180" i="8"/>
  <c r="Q180" i="8" s="1"/>
  <c r="R180" i="8" s="1"/>
  <c r="P179" i="8"/>
  <c r="Q179" i="8" s="1"/>
  <c r="R179" i="8" s="1"/>
  <c r="P178" i="8"/>
  <c r="Q178" i="8" s="1"/>
  <c r="R178" i="8" s="1"/>
  <c r="P177" i="8"/>
  <c r="Q177" i="8" s="1"/>
  <c r="R177" i="8" s="1"/>
  <c r="P176" i="8"/>
  <c r="Q176" i="8" s="1"/>
  <c r="R176" i="8" s="1"/>
  <c r="P175" i="8"/>
  <c r="Q175" i="8" s="1"/>
  <c r="R175" i="8" s="1"/>
  <c r="P174" i="8"/>
  <c r="Q174" i="8" s="1"/>
  <c r="R174" i="8" s="1"/>
  <c r="P173" i="8"/>
  <c r="Q173" i="8" s="1"/>
  <c r="R173" i="8" s="1"/>
  <c r="P172" i="8"/>
  <c r="Q172" i="8" s="1"/>
  <c r="R172" i="8" s="1"/>
  <c r="P171" i="8"/>
  <c r="Q171" i="8" s="1"/>
  <c r="R171" i="8" s="1"/>
  <c r="P170" i="8"/>
  <c r="Q170" i="8" s="1"/>
  <c r="R170" i="8" s="1"/>
  <c r="P169" i="8"/>
  <c r="Q169" i="8" s="1"/>
  <c r="R169" i="8" s="1"/>
  <c r="P168" i="8"/>
  <c r="Q168" i="8" s="1"/>
  <c r="R168" i="8" s="1"/>
  <c r="P167" i="8"/>
  <c r="Q167" i="8" s="1"/>
  <c r="R167" i="8" s="1"/>
  <c r="P166" i="8"/>
  <c r="Q166" i="8" s="1"/>
  <c r="R166" i="8" s="1"/>
  <c r="P165" i="8"/>
  <c r="Q165" i="8" s="1"/>
  <c r="R165" i="8" s="1"/>
  <c r="L161" i="8"/>
  <c r="M161" i="8" s="1"/>
  <c r="N161" i="8" s="1"/>
  <c r="L157" i="8"/>
  <c r="M157" i="8" s="1"/>
  <c r="N157" i="8" s="1"/>
  <c r="L130" i="8"/>
  <c r="M130" i="8" s="1"/>
  <c r="N130" i="8" s="1"/>
  <c r="L129" i="8"/>
  <c r="M129" i="8" s="1"/>
  <c r="N129" i="8" s="1"/>
  <c r="L153" i="8" s="1"/>
  <c r="L126" i="8"/>
  <c r="M126" i="8" s="1"/>
  <c r="N126" i="8" s="1"/>
  <c r="P152" i="8" s="1"/>
  <c r="L125" i="8"/>
  <c r="M125" i="8" s="1"/>
  <c r="N125" i="8" s="1"/>
  <c r="P144" i="8" s="1"/>
  <c r="L121" i="8"/>
  <c r="M121" i="8" s="1"/>
  <c r="N121" i="8" s="1"/>
  <c r="N153" i="8" s="1"/>
  <c r="L119" i="8"/>
  <c r="M119" i="8" s="1"/>
  <c r="N119" i="8" s="1"/>
  <c r="N149" i="8" s="1"/>
  <c r="L115" i="8"/>
  <c r="M115" i="8" s="1"/>
  <c r="N115" i="8" s="1"/>
  <c r="N144" i="8" s="1"/>
  <c r="L104" i="8"/>
  <c r="M104" i="8" s="1"/>
  <c r="N104" i="8" s="1"/>
  <c r="L102" i="8"/>
  <c r="M102" i="8" s="1"/>
  <c r="N102" i="8" s="1"/>
  <c r="L98" i="8"/>
  <c r="M98" i="8" s="1"/>
  <c r="N98" i="8" s="1"/>
  <c r="M83" i="8"/>
  <c r="N83" i="8" s="1"/>
  <c r="M69" i="8"/>
  <c r="N69" i="8" s="1"/>
  <c r="L37" i="8"/>
  <c r="M37" i="8" s="1"/>
  <c r="N37" i="8" s="1"/>
  <c r="L36" i="8"/>
  <c r="M36" i="8" s="1"/>
  <c r="N36" i="8" s="1"/>
  <c r="L32" i="8"/>
  <c r="M32" i="8" s="1"/>
  <c r="N32" i="8" s="1"/>
  <c r="L31" i="8"/>
  <c r="M31" i="8" s="1"/>
  <c r="N31" i="8" s="1"/>
  <c r="L211" i="8"/>
  <c r="M211" i="8" s="1"/>
  <c r="N211" i="8" s="1"/>
  <c r="L210" i="8"/>
  <c r="M210" i="8" s="1"/>
  <c r="N210" i="8" s="1"/>
  <c r="L209" i="8"/>
  <c r="M209" i="8" s="1"/>
  <c r="N209" i="8" s="1"/>
  <c r="L208" i="8"/>
  <c r="M208" i="8" s="1"/>
  <c r="N208" i="8" s="1"/>
  <c r="L207" i="8"/>
  <c r="M207" i="8" s="1"/>
  <c r="N207" i="8" s="1"/>
  <c r="L206" i="8"/>
  <c r="M206" i="8" s="1"/>
  <c r="N206" i="8" s="1"/>
  <c r="L205" i="8"/>
  <c r="M205" i="8" s="1"/>
  <c r="N205" i="8" s="1"/>
  <c r="L204" i="8"/>
  <c r="M204" i="8" s="1"/>
  <c r="N204" i="8" s="1"/>
  <c r="L203" i="8"/>
  <c r="M203" i="8" s="1"/>
  <c r="N203" i="8" s="1"/>
  <c r="L202" i="8"/>
  <c r="M202" i="8" s="1"/>
  <c r="N202" i="8" s="1"/>
  <c r="L201" i="8"/>
  <c r="M201" i="8" s="1"/>
  <c r="N201" i="8" s="1"/>
  <c r="L200" i="8"/>
  <c r="M200" i="8" s="1"/>
  <c r="L184" i="8"/>
  <c r="M184" i="8" s="1"/>
  <c r="N184" i="8" s="1"/>
  <c r="L183" i="8"/>
  <c r="M183" i="8" s="1"/>
  <c r="N183" i="8" s="1"/>
  <c r="L182" i="8"/>
  <c r="M182" i="8" s="1"/>
  <c r="N182" i="8" s="1"/>
  <c r="L181" i="8"/>
  <c r="M181" i="8" s="1"/>
  <c r="N181" i="8" s="1"/>
  <c r="L180" i="8"/>
  <c r="M180" i="8" s="1"/>
  <c r="N180" i="8" s="1"/>
  <c r="L179" i="8"/>
  <c r="M179" i="8" s="1"/>
  <c r="N179" i="8" s="1"/>
  <c r="L178" i="8"/>
  <c r="M178" i="8" s="1"/>
  <c r="N178" i="8" s="1"/>
  <c r="L177" i="8"/>
  <c r="M177" i="8" s="1"/>
  <c r="N177" i="8" s="1"/>
  <c r="L176" i="8"/>
  <c r="M176" i="8" s="1"/>
  <c r="N176" i="8" s="1"/>
  <c r="L175" i="8"/>
  <c r="M175" i="8" s="1"/>
  <c r="N175" i="8" s="1"/>
  <c r="L174" i="8"/>
  <c r="M174" i="8" s="1"/>
  <c r="N174" i="8" s="1"/>
  <c r="L173" i="8"/>
  <c r="M173" i="8" s="1"/>
  <c r="N173" i="8" s="1"/>
  <c r="L172" i="8"/>
  <c r="M172" i="8" s="1"/>
  <c r="N172" i="8" s="1"/>
  <c r="L171" i="8"/>
  <c r="M171" i="8" s="1"/>
  <c r="N171" i="8" s="1"/>
  <c r="L170" i="8"/>
  <c r="M170" i="8" s="1"/>
  <c r="N170" i="8" s="1"/>
  <c r="L169" i="8"/>
  <c r="M169" i="8" s="1"/>
  <c r="N169" i="8" s="1"/>
  <c r="L168" i="8"/>
  <c r="M168" i="8" s="1"/>
  <c r="N168" i="8" s="1"/>
  <c r="L167" i="8"/>
  <c r="M167" i="8" s="1"/>
  <c r="N167" i="8" s="1"/>
  <c r="L166" i="8"/>
  <c r="M166" i="8" s="1"/>
  <c r="N166" i="8" s="1"/>
  <c r="L165" i="8"/>
  <c r="M165" i="8" s="1"/>
  <c r="N165" i="8" s="1"/>
  <c r="L160" i="8"/>
  <c r="M160" i="8" s="1"/>
  <c r="N160" i="8" s="1"/>
  <c r="L156" i="8"/>
  <c r="M156" i="8" s="1"/>
  <c r="N156" i="8" s="1"/>
  <c r="L132" i="8"/>
  <c r="M132" i="8" s="1"/>
  <c r="N132" i="8" s="1"/>
  <c r="L131" i="8"/>
  <c r="M131" i="8" s="1"/>
  <c r="N131" i="8" s="1"/>
  <c r="L141" i="8" s="1"/>
  <c r="L124" i="8"/>
  <c r="M124" i="8" s="1"/>
  <c r="N124" i="8" s="1"/>
  <c r="P148" i="8" s="1"/>
  <c r="L120" i="8"/>
  <c r="M120" i="8" s="1"/>
  <c r="N120" i="8" s="1"/>
  <c r="N151" i="8" s="1"/>
  <c r="L118" i="8"/>
  <c r="M118" i="8" s="1"/>
  <c r="N118" i="8" s="1"/>
  <c r="N148" i="8" s="1"/>
  <c r="L117" i="8"/>
  <c r="M117" i="8" s="1"/>
  <c r="N117" i="8" s="1"/>
  <c r="N147" i="8" s="1"/>
  <c r="L116" i="8"/>
  <c r="M116" i="8" s="1"/>
  <c r="N116" i="8" s="1"/>
  <c r="N146" i="8" s="1"/>
  <c r="L114" i="8"/>
  <c r="M114" i="8" s="1"/>
  <c r="N114" i="8" s="1"/>
  <c r="N143" i="8" s="1"/>
  <c r="L113" i="8"/>
  <c r="M113" i="8" s="1"/>
  <c r="L112" i="8"/>
  <c r="M112" i="8" s="1"/>
  <c r="N112" i="8" s="1"/>
  <c r="N141" i="8" s="1"/>
  <c r="L111" i="8"/>
  <c r="M111" i="8" s="1"/>
  <c r="N111" i="8" s="1"/>
  <c r="N140" i="8" s="1"/>
  <c r="L110" i="8"/>
  <c r="M110" i="8" s="1"/>
  <c r="L109" i="8"/>
  <c r="M109" i="8" s="1"/>
  <c r="N109" i="8" s="1"/>
  <c r="N138" i="8" s="1"/>
  <c r="L108" i="8"/>
  <c r="M108" i="8" s="1"/>
  <c r="N108" i="8" s="1"/>
  <c r="N137" i="8" s="1"/>
  <c r="L107" i="8"/>
  <c r="M107" i="8" s="1"/>
  <c r="N107" i="8" s="1"/>
  <c r="N136" i="8" s="1"/>
  <c r="L103" i="8"/>
  <c r="M103" i="8" s="1"/>
  <c r="N103" i="8" s="1"/>
  <c r="L101" i="8"/>
  <c r="M101" i="8" s="1"/>
  <c r="N101" i="8" s="1"/>
  <c r="L100" i="8"/>
  <c r="M100" i="8" s="1"/>
  <c r="N100" i="8" s="1"/>
  <c r="L99" i="8"/>
  <c r="M99" i="8" s="1"/>
  <c r="N99" i="8" s="1"/>
  <c r="L97" i="8"/>
  <c r="M97" i="8" s="1"/>
  <c r="N97" i="8" s="1"/>
  <c r="L96" i="8"/>
  <c r="M96" i="8" s="1"/>
  <c r="N96" i="8" s="1"/>
  <c r="L95" i="8"/>
  <c r="M95" i="8" s="1"/>
  <c r="N95" i="8" s="1"/>
  <c r="L94" i="8"/>
  <c r="M94" i="8" s="1"/>
  <c r="N94" i="8" s="1"/>
  <c r="L93" i="8"/>
  <c r="M93" i="8" s="1"/>
  <c r="N93" i="8" s="1"/>
  <c r="L92" i="8"/>
  <c r="M92" i="8" s="1"/>
  <c r="N92" i="8" s="1"/>
  <c r="L91" i="8"/>
  <c r="M91" i="8" s="1"/>
  <c r="N91" i="8" s="1"/>
  <c r="L90" i="8"/>
  <c r="M90" i="8" s="1"/>
  <c r="N90" i="8" s="1"/>
  <c r="M87" i="8"/>
  <c r="L86" i="8"/>
  <c r="M86" i="8" s="1"/>
  <c r="N86" i="8" s="1"/>
  <c r="L85" i="8"/>
  <c r="M85" i="8" s="1"/>
  <c r="N85" i="8" s="1"/>
  <c r="L84" i="8"/>
  <c r="M84" i="8" s="1"/>
  <c r="N84" i="8" s="1"/>
  <c r="L82" i="8"/>
  <c r="M82" i="8" s="1"/>
  <c r="N82" i="8" s="1"/>
  <c r="L81" i="8"/>
  <c r="M81" i="8" s="1"/>
  <c r="N81" i="8" s="1"/>
  <c r="L80" i="8"/>
  <c r="M80" i="8" s="1"/>
  <c r="N80" i="8" s="1"/>
  <c r="L79" i="8"/>
  <c r="M79" i="8" s="1"/>
  <c r="N79" i="8" s="1"/>
  <c r="L78" i="8"/>
  <c r="M78" i="8" s="1"/>
  <c r="N78" i="8" s="1"/>
  <c r="L77" i="8"/>
  <c r="M77" i="8" s="1"/>
  <c r="N77" i="8" s="1"/>
  <c r="L72" i="8"/>
  <c r="M72" i="8" s="1"/>
  <c r="N72" i="8" s="1"/>
  <c r="O72" i="8" s="1"/>
  <c r="L71" i="8"/>
  <c r="M71" i="8" s="1"/>
  <c r="N71" i="8" s="1"/>
  <c r="O71" i="8" s="1"/>
  <c r="L70" i="8"/>
  <c r="M70" i="8" s="1"/>
  <c r="N70" i="8" s="1"/>
  <c r="O70" i="8" s="1"/>
  <c r="L66" i="8"/>
  <c r="M66" i="8" s="1"/>
  <c r="L67" i="8"/>
  <c r="M67" i="8" s="1"/>
  <c r="L68" i="8"/>
  <c r="M68" i="8" s="1"/>
  <c r="L64" i="8"/>
  <c r="M64" i="8" s="1"/>
  <c r="N64" i="8" s="1"/>
  <c r="O64" i="8" s="1"/>
  <c r="L65" i="8"/>
  <c r="M65" i="8" s="1"/>
  <c r="N65" i="8" s="1"/>
  <c r="O65" i="8" s="1"/>
  <c r="L59" i="8"/>
  <c r="M59" i="8" s="1"/>
  <c r="N59" i="8" s="1"/>
  <c r="L58" i="8"/>
  <c r="M58" i="8" s="1"/>
  <c r="N58" i="8" s="1"/>
  <c r="L35" i="8"/>
  <c r="M35" i="8" s="1"/>
  <c r="N35" i="8" s="1"/>
  <c r="L34" i="8"/>
  <c r="M34" i="8" s="1"/>
  <c r="N34" i="8" s="1"/>
  <c r="L33" i="8"/>
  <c r="M33" i="8" s="1"/>
  <c r="N33" i="8" s="1"/>
  <c r="L30" i="8"/>
  <c r="M30" i="8" s="1"/>
  <c r="N30" i="8" s="1"/>
  <c r="L29" i="8"/>
  <c r="M29" i="8" s="1"/>
  <c r="N29" i="8" s="1"/>
  <c r="L28" i="8"/>
  <c r="M28" i="8" s="1"/>
  <c r="N28" i="8" s="1"/>
  <c r="L27" i="8"/>
  <c r="M27" i="8" s="1"/>
  <c r="N27" i="8" s="1"/>
  <c r="L26" i="8"/>
  <c r="M26" i="8" s="1"/>
  <c r="N26" i="8" s="1"/>
  <c r="L25" i="8"/>
  <c r="M25" i="8" s="1"/>
  <c r="N25" i="8" s="1"/>
  <c r="L24" i="8"/>
  <c r="M24" i="8" s="1"/>
  <c r="N24" i="8" s="1"/>
  <c r="L23" i="8"/>
  <c r="M23" i="8" s="1"/>
  <c r="N23" i="8" s="1"/>
  <c r="L20" i="8"/>
  <c r="M20" i="8" s="1"/>
  <c r="N20" i="8" s="1"/>
  <c r="L19" i="8"/>
  <c r="M19" i="8" s="1"/>
  <c r="N19" i="8" s="1"/>
  <c r="L15" i="8"/>
  <c r="M15" i="8" s="1"/>
  <c r="N15" i="8" s="1"/>
  <c r="L14" i="8"/>
  <c r="M14" i="8" s="1"/>
  <c r="N14" i="8" s="1"/>
  <c r="L5" i="8"/>
  <c r="M5" i="8" s="1"/>
  <c r="N5" i="8" s="1"/>
  <c r="L13" i="8"/>
  <c r="M13" i="8" s="1"/>
  <c r="N13" i="8" s="1"/>
  <c r="L12" i="8"/>
  <c r="M12" i="8" s="1"/>
  <c r="N12" i="8" s="1"/>
  <c r="L11" i="8"/>
  <c r="M11" i="8" s="1"/>
  <c r="N11" i="8" s="1"/>
  <c r="L10" i="8"/>
  <c r="M10" i="8" s="1"/>
  <c r="N10" i="8" s="1"/>
  <c r="L18" i="8"/>
  <c r="M18" i="8" s="1"/>
  <c r="N18" i="8" s="1"/>
  <c r="L17" i="8"/>
  <c r="M17" i="8" s="1"/>
  <c r="N17" i="8" s="1"/>
  <c r="L16" i="8"/>
  <c r="M16" i="8" s="1"/>
  <c r="N16" i="8" s="1"/>
  <c r="L9" i="8"/>
  <c r="M9" i="8" s="1"/>
  <c r="N9" i="8" s="1"/>
  <c r="L8" i="8"/>
  <c r="M8" i="8" s="1"/>
  <c r="N8" i="8" s="1"/>
  <c r="L7" i="8"/>
  <c r="M7" i="8" s="1"/>
  <c r="N7" i="8" s="1"/>
  <c r="Q193" i="8" l="1"/>
  <c r="R193" i="8" s="1"/>
  <c r="C16" i="8"/>
  <c r="C15" i="8"/>
  <c r="Q192" i="8"/>
  <c r="R192" i="8" s="1"/>
  <c r="L196" i="8"/>
  <c r="Q189" i="8"/>
  <c r="R189" i="8" s="1"/>
  <c r="Q188" i="8"/>
  <c r="R188" i="8" s="1"/>
  <c r="L190" i="8"/>
  <c r="L194" i="8"/>
  <c r="M214" i="8"/>
  <c r="M73" i="8"/>
  <c r="N73" i="8" s="1"/>
  <c r="M141" i="8"/>
  <c r="N200" i="8"/>
  <c r="N214" i="8" s="1"/>
  <c r="O153" i="8"/>
  <c r="N87" i="8"/>
  <c r="O87" i="8" s="1"/>
  <c r="Q87" i="8" s="1"/>
  <c r="O144" i="8"/>
  <c r="P145" i="8"/>
  <c r="P153" i="8"/>
  <c r="R153" i="8" s="1"/>
  <c r="L152" i="8"/>
  <c r="L149" i="8"/>
  <c r="O137" i="8"/>
  <c r="P141" i="8"/>
  <c r="R141" i="8" s="1"/>
  <c r="O139" i="8"/>
  <c r="O151" i="8"/>
  <c r="P143" i="8"/>
  <c r="P151" i="8"/>
  <c r="M151" i="8"/>
  <c r="O141" i="8"/>
  <c r="P137" i="8"/>
  <c r="O143" i="8"/>
  <c r="P139" i="8"/>
  <c r="P147" i="8"/>
  <c r="N145" i="8"/>
  <c r="O147" i="8"/>
  <c r="P149" i="8"/>
  <c r="M145" i="8"/>
  <c r="N113" i="8"/>
  <c r="N142" i="8" s="1"/>
  <c r="M142" i="8"/>
  <c r="N110" i="8"/>
  <c r="N139" i="8" s="1"/>
  <c r="M139" i="8"/>
  <c r="K136" i="8"/>
  <c r="K140" i="8"/>
  <c r="K146" i="8"/>
  <c r="K144" i="8"/>
  <c r="K152" i="8"/>
  <c r="L138" i="8"/>
  <c r="L142" i="8"/>
  <c r="L146" i="8"/>
  <c r="L150" i="8"/>
  <c r="O152" i="8"/>
  <c r="O145" i="8"/>
  <c r="O138" i="8"/>
  <c r="O142" i="8"/>
  <c r="O148" i="8"/>
  <c r="P138" i="8"/>
  <c r="P142" i="8"/>
  <c r="P146" i="8"/>
  <c r="P150" i="8"/>
  <c r="M136" i="8"/>
  <c r="M140" i="8"/>
  <c r="M144" i="8"/>
  <c r="M148" i="8"/>
  <c r="M152" i="8"/>
  <c r="N150" i="8"/>
  <c r="K137" i="8"/>
  <c r="K141" i="8"/>
  <c r="K147" i="8"/>
  <c r="K145" i="8"/>
  <c r="K153" i="8"/>
  <c r="L139" i="8"/>
  <c r="L143" i="8"/>
  <c r="L147" i="8"/>
  <c r="L151" i="8"/>
  <c r="O149" i="8"/>
  <c r="M137" i="8"/>
  <c r="M149" i="8"/>
  <c r="M153" i="8"/>
  <c r="Q65" i="8"/>
  <c r="K138" i="8"/>
  <c r="K142" i="8"/>
  <c r="K148" i="8"/>
  <c r="K149" i="8"/>
  <c r="L136" i="8"/>
  <c r="L140" i="8"/>
  <c r="L144" i="8"/>
  <c r="R144" i="8" s="1"/>
  <c r="L148" i="8"/>
  <c r="R148" i="8" s="1"/>
  <c r="O150" i="8"/>
  <c r="O136" i="8"/>
  <c r="O140" i="8"/>
  <c r="O146" i="8"/>
  <c r="P136" i="8"/>
  <c r="P140" i="8"/>
  <c r="R140" i="8" s="1"/>
  <c r="M138" i="8"/>
  <c r="M146" i="8"/>
  <c r="M150" i="8"/>
  <c r="N152" i="8"/>
  <c r="K139" i="8"/>
  <c r="K143" i="8"/>
  <c r="K151" i="8"/>
  <c r="K150" i="8"/>
  <c r="L137" i="8"/>
  <c r="R137" i="8" s="1"/>
  <c r="L145" i="8"/>
  <c r="M143" i="8"/>
  <c r="M147" i="8"/>
  <c r="Q71" i="8"/>
  <c r="Q64" i="8"/>
  <c r="Q70" i="8"/>
  <c r="Q72" i="8"/>
  <c r="P81" i="8"/>
  <c r="O81" i="8"/>
  <c r="Q81" i="8" s="1"/>
  <c r="P79" i="8"/>
  <c r="O79" i="8"/>
  <c r="Q79" i="8" s="1"/>
  <c r="O84" i="8"/>
  <c r="Q84" i="8" s="1"/>
  <c r="P84" i="8"/>
  <c r="O69" i="8"/>
  <c r="Q69" i="8" s="1"/>
  <c r="P69" i="8"/>
  <c r="P77" i="8"/>
  <c r="O77" i="8"/>
  <c r="Q77" i="8" s="1"/>
  <c r="O82" i="8"/>
  <c r="Q82" i="8" s="1"/>
  <c r="P82" i="8"/>
  <c r="P85" i="8"/>
  <c r="O85" i="8"/>
  <c r="Q85" i="8" s="1"/>
  <c r="O78" i="8"/>
  <c r="Q78" i="8" s="1"/>
  <c r="P78" i="8"/>
  <c r="P86" i="8"/>
  <c r="O86" i="8"/>
  <c r="Q86" i="8" s="1"/>
  <c r="P80" i="8"/>
  <c r="O80" i="8"/>
  <c r="Q80" i="8" s="1"/>
  <c r="P83" i="8"/>
  <c r="O83" i="8"/>
  <c r="Q83" i="8" s="1"/>
  <c r="P71" i="8"/>
  <c r="P72" i="8"/>
  <c r="P64" i="8"/>
  <c r="P65" i="8"/>
  <c r="P70" i="8"/>
  <c r="N66" i="8"/>
  <c r="P66" i="8" s="1"/>
  <c r="N68" i="8"/>
  <c r="P68" i="8" s="1"/>
  <c r="N67" i="8"/>
  <c r="P67" i="8" s="1"/>
  <c r="R214" i="8" l="1"/>
  <c r="Q214" i="8"/>
  <c r="R147" i="8"/>
  <c r="O73" i="8"/>
  <c r="Q73" i="8" s="1"/>
  <c r="P73" i="8"/>
  <c r="P87" i="8"/>
  <c r="Q144" i="8"/>
  <c r="R146" i="8"/>
  <c r="R151" i="8"/>
  <c r="Q136" i="8"/>
  <c r="Q150" i="8"/>
  <c r="R143" i="8"/>
  <c r="R145" i="8"/>
  <c r="Q143" i="8"/>
  <c r="Q149" i="8"/>
  <c r="R139" i="8"/>
  <c r="Q141" i="8"/>
  <c r="R138" i="8"/>
  <c r="Q140" i="8"/>
  <c r="Q153" i="8"/>
  <c r="Q152" i="8"/>
  <c r="R142" i="8"/>
  <c r="Q147" i="8"/>
  <c r="Q148" i="8"/>
  <c r="Q137" i="8"/>
  <c r="Q142" i="8"/>
  <c r="R152" i="8"/>
  <c r="Q139" i="8"/>
  <c r="Q151" i="8"/>
  <c r="R149" i="8"/>
  <c r="Q145" i="8"/>
  <c r="R150" i="8"/>
  <c r="R136" i="8"/>
  <c r="Q138" i="8"/>
  <c r="Q146" i="8"/>
  <c r="O68" i="8"/>
  <c r="Q68" i="8" s="1"/>
  <c r="O67" i="8"/>
  <c r="Q67" i="8" s="1"/>
  <c r="O66" i="8"/>
  <c r="Q66" i="8" s="1"/>
  <c r="L63" i="8" l="1"/>
  <c r="M63" i="8" s="1"/>
  <c r="N63" i="8" s="1"/>
  <c r="C8" i="8"/>
  <c r="O2" i="8" l="1"/>
  <c r="B10" i="8" s="1"/>
  <c r="C51" i="8"/>
  <c r="C54" i="8"/>
  <c r="C59" i="8"/>
  <c r="C61" i="8"/>
  <c r="C53" i="8"/>
  <c r="C29" i="8"/>
  <c r="C57" i="8"/>
  <c r="C60" i="8"/>
  <c r="C52" i="8"/>
  <c r="C30" i="8"/>
  <c r="C56" i="8"/>
  <c r="C55" i="8"/>
  <c r="C58" i="8"/>
  <c r="C19" i="8"/>
  <c r="C25" i="8"/>
  <c r="O63" i="8"/>
  <c r="Q63" i="8" s="1"/>
  <c r="P63" i="8"/>
  <c r="L53" i="8"/>
  <c r="M53" i="8" s="1"/>
  <c r="N53" i="8" s="1"/>
  <c r="O53" i="8" s="1"/>
  <c r="L49" i="8"/>
  <c r="L45" i="8"/>
  <c r="M45" i="8" s="1"/>
  <c r="N45" i="8" s="1"/>
  <c r="O45" i="8" s="1"/>
  <c r="L41" i="8"/>
  <c r="M41" i="8" s="1"/>
  <c r="N41" i="8" s="1"/>
  <c r="O41" i="8" s="1"/>
  <c r="L52" i="8"/>
  <c r="M52" i="8" s="1"/>
  <c r="N52" i="8" s="1"/>
  <c r="O52" i="8" s="1"/>
  <c r="L48" i="8"/>
  <c r="M48" i="8" s="1"/>
  <c r="N48" i="8" s="1"/>
  <c r="O48" i="8" s="1"/>
  <c r="L44" i="8"/>
  <c r="M44" i="8" s="1"/>
  <c r="N44" i="8" s="1"/>
  <c r="O44" i="8" s="1"/>
  <c r="L55" i="8"/>
  <c r="L51" i="8"/>
  <c r="L47" i="8"/>
  <c r="M47" i="8" s="1"/>
  <c r="N47" i="8" s="1"/>
  <c r="O47" i="8" s="1"/>
  <c r="L43" i="8"/>
  <c r="M43" i="8" s="1"/>
  <c r="N43" i="8" s="1"/>
  <c r="O43" i="8" s="1"/>
  <c r="L54" i="8"/>
  <c r="L50" i="8"/>
  <c r="L46" i="8"/>
  <c r="M46" i="8" s="1"/>
  <c r="N46" i="8" s="1"/>
  <c r="O46" i="8" s="1"/>
  <c r="L42" i="8"/>
  <c r="M42" i="8" s="1"/>
  <c r="N42" i="8" s="1"/>
  <c r="O42" i="8" s="1"/>
  <c r="D25" i="8" l="1"/>
  <c r="E25" i="8" s="1"/>
  <c r="D19" i="8"/>
  <c r="E19" i="8" s="1"/>
  <c r="S192" i="8" s="1"/>
  <c r="D51" i="8"/>
  <c r="D56" i="8"/>
  <c r="E56" i="8" s="1"/>
  <c r="O205" i="8" s="1"/>
  <c r="D29" i="8"/>
  <c r="E29" i="8" s="1"/>
  <c r="D54" i="8"/>
  <c r="E54" i="8" s="1"/>
  <c r="D59" i="8"/>
  <c r="E59" i="8" s="1"/>
  <c r="D57" i="8"/>
  <c r="E57" i="8" s="1"/>
  <c r="O206" i="8" s="1"/>
  <c r="D30" i="8"/>
  <c r="E30" i="8" s="1"/>
  <c r="D58" i="8"/>
  <c r="E58" i="8" s="1"/>
  <c r="D52" i="8"/>
  <c r="E52" i="8" s="1"/>
  <c r="D53" i="8"/>
  <c r="E53" i="8" s="1"/>
  <c r="D55" i="8"/>
  <c r="E55" i="8" s="1"/>
  <c r="D60" i="8"/>
  <c r="E60" i="8" s="1"/>
  <c r="D61" i="8"/>
  <c r="E61" i="8" s="1"/>
  <c r="D42" i="8"/>
  <c r="E42" i="8" s="1"/>
  <c r="O176" i="8" s="1"/>
  <c r="D40" i="8"/>
  <c r="E40" i="8" s="1"/>
  <c r="O174" i="8" s="1"/>
  <c r="D32" i="8"/>
  <c r="E32" i="8" s="1"/>
  <c r="S166" i="8" s="1"/>
  <c r="D38" i="8"/>
  <c r="E38" i="8" s="1"/>
  <c r="O172" i="8" s="1"/>
  <c r="D35" i="8"/>
  <c r="E35" i="8" s="1"/>
  <c r="S169" i="8" s="1"/>
  <c r="D45" i="8"/>
  <c r="E45" i="8" s="1"/>
  <c r="O179" i="8" s="1"/>
  <c r="D49" i="8"/>
  <c r="E49" i="8" s="1"/>
  <c r="O183" i="8" s="1"/>
  <c r="D43" i="8"/>
  <c r="E43" i="8" s="1"/>
  <c r="O177" i="8" s="1"/>
  <c r="D33" i="8"/>
  <c r="E33" i="8" s="1"/>
  <c r="O167" i="8" s="1"/>
  <c r="D47" i="8"/>
  <c r="E47" i="8" s="1"/>
  <c r="S181" i="8" s="1"/>
  <c r="D46" i="8"/>
  <c r="E46" i="8" s="1"/>
  <c r="O180" i="8" s="1"/>
  <c r="D36" i="8"/>
  <c r="E36" i="8" s="1"/>
  <c r="O170" i="8" s="1"/>
  <c r="D41" i="8"/>
  <c r="E41" i="8" s="1"/>
  <c r="O175" i="8" s="1"/>
  <c r="D37" i="8"/>
  <c r="E37" i="8" s="1"/>
  <c r="S171" i="8" s="1"/>
  <c r="D44" i="8"/>
  <c r="E44" i="8" s="1"/>
  <c r="O178" i="8" s="1"/>
  <c r="D39" i="8"/>
  <c r="E39" i="8" s="1"/>
  <c r="O173" i="8" s="1"/>
  <c r="D34" i="8"/>
  <c r="E34" i="8" s="1"/>
  <c r="O168" i="8" s="1"/>
  <c r="D48" i="8"/>
  <c r="E48" i="8" s="1"/>
  <c r="O182" i="8" s="1"/>
  <c r="D50" i="8"/>
  <c r="E50" i="8" s="1"/>
  <c r="O184" i="8" s="1"/>
  <c r="D31" i="8"/>
  <c r="E31" i="8" s="1"/>
  <c r="S165" i="8" s="1"/>
  <c r="D15" i="8"/>
  <c r="E15" i="8" s="1"/>
  <c r="R70" i="8" s="1"/>
  <c r="D24" i="8"/>
  <c r="D16" i="8"/>
  <c r="E16" i="8" s="1"/>
  <c r="R82" i="8" s="1"/>
  <c r="D14" i="8"/>
  <c r="E14" i="8" s="1"/>
  <c r="O27" i="8" s="1"/>
  <c r="D23" i="8"/>
  <c r="E23" i="8" s="1"/>
  <c r="O130" i="8" s="1"/>
  <c r="D13" i="8"/>
  <c r="E13" i="8" s="1"/>
  <c r="O13" i="8" s="1"/>
  <c r="D18" i="8"/>
  <c r="E18" i="8" s="1"/>
  <c r="M51" i="8"/>
  <c r="N51" i="8" s="1"/>
  <c r="O51" i="8" s="1"/>
  <c r="C17" i="8"/>
  <c r="A57" i="8"/>
  <c r="A56" i="8"/>
  <c r="A51" i="8"/>
  <c r="E51" i="8"/>
  <c r="O200" i="8" s="1"/>
  <c r="M49" i="8"/>
  <c r="N49" i="8" s="1"/>
  <c r="O49" i="8" s="1"/>
  <c r="M50" i="8"/>
  <c r="N50" i="8" s="1"/>
  <c r="O50" i="8" s="1"/>
  <c r="M54" i="8"/>
  <c r="N54" i="8" s="1"/>
  <c r="O54" i="8" s="1"/>
  <c r="M55" i="8"/>
  <c r="N55" i="8" s="1"/>
  <c r="O55" i="8" s="1"/>
  <c r="O166" i="8" l="1"/>
  <c r="S184" i="8"/>
  <c r="S180" i="8"/>
  <c r="O171" i="8"/>
  <c r="S178" i="8"/>
  <c r="O12" i="8"/>
  <c r="S182" i="8"/>
  <c r="S179" i="8"/>
  <c r="S174" i="8"/>
  <c r="S183" i="8"/>
  <c r="O181" i="8"/>
  <c r="O17" i="8"/>
  <c r="O10" i="8"/>
  <c r="O20" i="8"/>
  <c r="O7" i="8"/>
  <c r="S168" i="8"/>
  <c r="R64" i="8"/>
  <c r="R72" i="8"/>
  <c r="R66" i="8"/>
  <c r="O131" i="8"/>
  <c r="R68" i="8"/>
  <c r="R73" i="8"/>
  <c r="S167" i="8"/>
  <c r="E26" i="8"/>
  <c r="S151" i="8" s="1"/>
  <c r="O19" i="8"/>
  <c r="O5" i="8"/>
  <c r="O8" i="8"/>
  <c r="O18" i="8"/>
  <c r="O11" i="8"/>
  <c r="O9" i="8"/>
  <c r="O14" i="8"/>
  <c r="R81" i="8"/>
  <c r="O16" i="8"/>
  <c r="O15" i="8"/>
  <c r="R67" i="8"/>
  <c r="R63" i="8"/>
  <c r="R87" i="8"/>
  <c r="R83" i="8"/>
  <c r="R77" i="8"/>
  <c r="R80" i="8"/>
  <c r="R85" i="8"/>
  <c r="R79" i="8"/>
  <c r="R84" i="8"/>
  <c r="R86" i="8"/>
  <c r="R78" i="8"/>
  <c r="O29" i="8"/>
  <c r="O132" i="8"/>
  <c r="S176" i="8"/>
  <c r="R65" i="8"/>
  <c r="R71" i="8"/>
  <c r="O129" i="8"/>
  <c r="O169" i="8"/>
  <c r="O30" i="8"/>
  <c r="S175" i="8"/>
  <c r="O31" i="8"/>
  <c r="O28" i="8"/>
  <c r="S196" i="8"/>
  <c r="O211" i="8"/>
  <c r="O210" i="8"/>
  <c r="S195" i="8"/>
  <c r="O208" i="8"/>
  <c r="S194" i="8"/>
  <c r="S190" i="8"/>
  <c r="O203" i="8"/>
  <c r="S188" i="8"/>
  <c r="O201" i="8"/>
  <c r="O204" i="8"/>
  <c r="S191" i="8"/>
  <c r="O160" i="8"/>
  <c r="O161" i="8"/>
  <c r="O157" i="8"/>
  <c r="O156" i="8"/>
  <c r="O209" i="8"/>
  <c r="S193" i="8"/>
  <c r="S189" i="8"/>
  <c r="O202" i="8"/>
  <c r="O32" i="8"/>
  <c r="O33" i="8"/>
  <c r="O34" i="8"/>
  <c r="O35" i="8"/>
  <c r="S170" i="8"/>
  <c r="S173" i="8"/>
  <c r="S177" i="8"/>
  <c r="S172" i="8"/>
  <c r="O165" i="8"/>
  <c r="O23" i="8"/>
  <c r="O36" i="8"/>
  <c r="O37" i="8"/>
  <c r="O24" i="8"/>
  <c r="O25" i="8"/>
  <c r="O26" i="8"/>
  <c r="D17" i="8"/>
  <c r="E17" i="8" s="1"/>
  <c r="O207" i="8"/>
  <c r="D20" i="8"/>
  <c r="E20" i="8" s="1"/>
  <c r="S214" i="8" s="1"/>
  <c r="O126" i="8"/>
  <c r="O125" i="8"/>
  <c r="O124" i="8"/>
  <c r="O104" i="8"/>
  <c r="O100" i="8"/>
  <c r="O96" i="8"/>
  <c r="O92" i="8"/>
  <c r="O103" i="8"/>
  <c r="O99" i="8"/>
  <c r="O95" i="8"/>
  <c r="O91" i="8"/>
  <c r="O102" i="8"/>
  <c r="O98" i="8"/>
  <c r="O94" i="8"/>
  <c r="O90" i="8"/>
  <c r="O101" i="8"/>
  <c r="O97" i="8"/>
  <c r="O93" i="8"/>
  <c r="E24" i="8"/>
  <c r="S152" i="8" l="1"/>
  <c r="S138" i="8"/>
  <c r="S143" i="8"/>
  <c r="S136" i="8"/>
  <c r="S141" i="8"/>
  <c r="S142" i="8"/>
  <c r="S147" i="8"/>
  <c r="S144" i="8"/>
  <c r="S145" i="8"/>
  <c r="S146" i="8"/>
  <c r="S148" i="8"/>
  <c r="S149" i="8"/>
  <c r="S139" i="8"/>
  <c r="S140" i="8"/>
  <c r="S137" i="8"/>
  <c r="S153" i="8"/>
  <c r="S150" i="8"/>
  <c r="P51" i="8"/>
  <c r="P55" i="8"/>
  <c r="P52" i="8"/>
  <c r="P53" i="8"/>
  <c r="P54" i="8"/>
  <c r="P43" i="8"/>
  <c r="P47" i="8"/>
  <c r="P41" i="8"/>
  <c r="P42" i="8"/>
  <c r="P44" i="8"/>
  <c r="P45" i="8"/>
  <c r="P46" i="8"/>
  <c r="P48" i="8"/>
  <c r="P49" i="8"/>
  <c r="P50" i="8"/>
  <c r="O214" i="8"/>
  <c r="O120" i="8"/>
  <c r="O116" i="8"/>
  <c r="O112" i="8"/>
  <c r="O108" i="8"/>
  <c r="O119" i="8"/>
  <c r="O115" i="8"/>
  <c r="O111" i="8"/>
  <c r="O107" i="8"/>
  <c r="O118" i="8"/>
  <c r="O114" i="8"/>
  <c r="O110" i="8"/>
  <c r="O121" i="8"/>
  <c r="O117" i="8"/>
  <c r="O113" i="8"/>
  <c r="O109" i="8"/>
</calcChain>
</file>

<file path=xl/sharedStrings.xml><?xml version="1.0" encoding="utf-8"?>
<sst xmlns="http://schemas.openxmlformats.org/spreadsheetml/2006/main" count="544" uniqueCount="155">
  <si>
    <t>Operational Hours</t>
  </si>
  <si>
    <t>hours/year</t>
  </si>
  <si>
    <t>Rating</t>
  </si>
  <si>
    <r>
      <t>NO</t>
    </r>
    <r>
      <rPr>
        <vertAlign val="subscript"/>
        <sz val="10"/>
        <rFont val="Arial"/>
        <family val="2"/>
      </rPr>
      <t>X</t>
    </r>
  </si>
  <si>
    <t>CO</t>
  </si>
  <si>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</si>
  <si>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</si>
  <si>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r>
      <t>SO</t>
    </r>
    <r>
      <rPr>
        <vertAlign val="subscript"/>
        <sz val="10"/>
        <rFont val="Arial"/>
        <family val="2"/>
      </rPr>
      <t>2</t>
    </r>
  </si>
  <si>
    <t>VOC</t>
  </si>
  <si>
    <t>Lead</t>
  </si>
  <si>
    <t>Acenaphthene</t>
  </si>
  <si>
    <t>Acenaphthylene</t>
  </si>
  <si>
    <t>Anthracene</t>
  </si>
  <si>
    <t>Benz(a)anthracene</t>
  </si>
  <si>
    <t>Benzene</t>
  </si>
  <si>
    <t>Benzo(g,h,i)perylene</t>
  </si>
  <si>
    <t>Chrysene</t>
  </si>
  <si>
    <t>Dibenzo(a,h)anthracene</t>
  </si>
  <si>
    <t>Fluoranthene</t>
  </si>
  <si>
    <t>Fluorene</t>
  </si>
  <si>
    <t>Formaldehyde</t>
  </si>
  <si>
    <t>Indeno(1,2,3-cd)pyrene</t>
  </si>
  <si>
    <t>Naphthalene</t>
  </si>
  <si>
    <t>Phenanathrene</t>
  </si>
  <si>
    <t>Pyrene</t>
  </si>
  <si>
    <t>Toluene</t>
  </si>
  <si>
    <t>Arsenic</t>
  </si>
  <si>
    <t>Beryllium</t>
  </si>
  <si>
    <t>Cadmium</t>
  </si>
  <si>
    <t>Chromium</t>
  </si>
  <si>
    <t>Cobalt</t>
  </si>
  <si>
    <t>Manganese</t>
  </si>
  <si>
    <t>Mercury</t>
  </si>
  <si>
    <t>Nickel</t>
  </si>
  <si>
    <t>Selenium</t>
  </si>
  <si>
    <t>Sulfur Content</t>
  </si>
  <si>
    <t>Ethylbenzene</t>
  </si>
  <si>
    <t>1,1,1-Trichloroethane</t>
  </si>
  <si>
    <t>o-Xylene</t>
  </si>
  <si>
    <t>Benzo(b,k)fluoranthene</t>
  </si>
  <si>
    <t>OCDD</t>
  </si>
  <si>
    <t>Criteria Pollutant</t>
  </si>
  <si>
    <t>Equipment Details</t>
  </si>
  <si>
    <t>AP-42 Table 1.3-9</t>
  </si>
  <si>
    <t>AP-42 Table 1.3-3</t>
  </si>
  <si>
    <t>Boiler Type</t>
  </si>
  <si>
    <t>Reference</t>
  </si>
  <si>
    <t>Global Warming Potential</t>
  </si>
  <si>
    <t>Methane (mass basis)</t>
  </si>
  <si>
    <t>Emission
Rate
(lbs/hr)</t>
  </si>
  <si>
    <t>Emission
Total
(tons/year)</t>
  </si>
  <si>
    <t>Green House Gas Pollutant</t>
  </si>
  <si>
    <t>HAP</t>
  </si>
  <si>
    <t>Hazardous Air Pollutant</t>
  </si>
  <si>
    <t>See Below</t>
  </si>
  <si>
    <t>MMBtu/hour</t>
  </si>
  <si>
    <t>Emission Factor
(lb/10^3 gal)</t>
  </si>
  <si>
    <t>Fuel Oil-Fired Boilers &amp; Heaters</t>
  </si>
  <si>
    <t>Firing Type</t>
  </si>
  <si>
    <t>Normal</t>
  </si>
  <si>
    <t>Antimony</t>
  </si>
  <si>
    <t>Chromium VI</t>
  </si>
  <si>
    <t>AP-42 Table 1.3-11</t>
  </si>
  <si>
    <t>Fuel Oil Grade Number</t>
  </si>
  <si>
    <t>Polycyclic Organic Matter</t>
  </si>
  <si>
    <t>AP-42 Table 1.3-8</t>
  </si>
  <si>
    <t>AP-42 Tables 1.3-3,
1.3-8, 1.3-12, &amp;
Table A-1 to
Subpart A of Part 98</t>
  </si>
  <si>
    <t>AP-42 Tables
1.3-2, 4, 5, 6, &amp; 7</t>
  </si>
  <si>
    <t>AP-42 Table 1.3-1</t>
  </si>
  <si>
    <t>Type</t>
  </si>
  <si>
    <t>Utility</t>
  </si>
  <si>
    <t>NOx</t>
  </si>
  <si>
    <t>Size</t>
  </si>
  <si>
    <t>&gt;100 MMBtu/hr</t>
  </si>
  <si>
    <t>&lt;100 MMBtu/hr</t>
  </si>
  <si>
    <t>lb/MMBtu</t>
  </si>
  <si>
    <t>lb/hr</t>
  </si>
  <si>
    <t>Ton/year</t>
  </si>
  <si>
    <t>CO2</t>
  </si>
  <si>
    <t>N2O</t>
  </si>
  <si>
    <t>PM (cond)</t>
  </si>
  <si>
    <t>SO2</t>
  </si>
  <si>
    <t>Methane</t>
  </si>
  <si>
    <t>CO2e</t>
  </si>
  <si>
    <t>HAP - Organic</t>
  </si>
  <si>
    <t>HAP - Metal</t>
  </si>
  <si>
    <t>Total HAP</t>
  </si>
  <si>
    <t>Check</t>
  </si>
  <si>
    <t>Commercial</t>
  </si>
  <si>
    <t>Heating Value of #2 &amp; Distillate</t>
  </si>
  <si>
    <t>Heating Value of #4, #5, #6 Oils</t>
  </si>
  <si>
    <t>MMBtu/1,000 gal</t>
  </si>
  <si>
    <t>#6, Normal Firing</t>
  </si>
  <si>
    <t>#6, Normal Firing, Low Nox burner</t>
  </si>
  <si>
    <t>#6, Tangential Firing</t>
  </si>
  <si>
    <t>#6, Tangential Firing, Low Nox burner</t>
  </si>
  <si>
    <t>lb/10^3 gal</t>
  </si>
  <si>
    <t>#5, Normal Firing</t>
  </si>
  <si>
    <t>#5, Tangential Firing</t>
  </si>
  <si>
    <t>#4, Normal Firing</t>
  </si>
  <si>
    <t>#4, Tangential Firing</t>
  </si>
  <si>
    <t>#2, Normal Firing</t>
  </si>
  <si>
    <t>#2, Normal Firing, Low Nox/FGR</t>
  </si>
  <si>
    <t>Distillate, Normal</t>
  </si>
  <si>
    <t>Residential Furnace</t>
  </si>
  <si>
    <t>EF x S</t>
  </si>
  <si>
    <t>Actual</t>
  </si>
  <si>
    <t>Table 1.3-1</t>
  </si>
  <si>
    <t>Table 1.3-2</t>
  </si>
  <si>
    <t>#2 Oil</t>
  </si>
  <si>
    <t>#6 Oil</t>
  </si>
  <si>
    <t>Industrial</t>
  </si>
  <si>
    <t>Table 1.3-4, 1.3-5, 1.3-6, 1.3-7</t>
  </si>
  <si>
    <t>Distillate (#1 &amp; #2)</t>
  </si>
  <si>
    <t>#6, A = 1.12(S) + 0.37</t>
  </si>
  <si>
    <t>#5 A = 1.2</t>
  </si>
  <si>
    <t>#4 A = 0.84</t>
  </si>
  <si>
    <t>EF x A</t>
  </si>
  <si>
    <t>Filterable PM10</t>
  </si>
  <si>
    <t>Total PM10</t>
  </si>
  <si>
    <t>#2 A = 0.24</t>
  </si>
  <si>
    <t>PM10</t>
  </si>
  <si>
    <t>PM2.5</t>
  </si>
  <si>
    <t>Comercial</t>
  </si>
  <si>
    <t>Residential</t>
  </si>
  <si>
    <t>Table 1.3-3</t>
  </si>
  <si>
    <t>All</t>
  </si>
  <si>
    <t>Table 1.3-8</t>
  </si>
  <si>
    <t>#2</t>
  </si>
  <si>
    <t>Low Sulfur #6</t>
  </si>
  <si>
    <t>High Sulfur #6</t>
  </si>
  <si>
    <t>Total</t>
  </si>
  <si>
    <t>#1 Distillate, Normal</t>
  </si>
  <si>
    <t>#2 Distillate, Normal</t>
  </si>
  <si>
    <t>#1 (Kerosene)</t>
  </si>
  <si>
    <t>Residential Furnace #2</t>
  </si>
  <si>
    <t>Residential Furnace #1</t>
  </si>
  <si>
    <t>Table 1.3-3 &amp; 1.3-8</t>
  </si>
  <si>
    <t>POM</t>
  </si>
  <si>
    <t>Table 1.3-9</t>
  </si>
  <si>
    <t>Residual Oil</t>
  </si>
  <si>
    <t>Distillate Oil</t>
  </si>
  <si>
    <t>Table 1.3-11</t>
  </si>
  <si>
    <t>Table 1.3-10</t>
  </si>
  <si>
    <t>lb/10^12 Btu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</si>
  <si>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(mass basis)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</si>
  <si>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(mass basis)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</si>
  <si>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</si>
  <si>
    <t>Fuel Usage</t>
  </si>
  <si>
    <t>gallons/hour</t>
  </si>
  <si>
    <t>=IF($C$7="Distillate",$B$3/$K$1*1000,$B$3/$K$2*1000)</t>
  </si>
  <si>
    <t>Formula for Fuel Usage, if changed.</t>
  </si>
  <si>
    <t>Use</t>
  </si>
  <si>
    <t>Table 1.3-12</t>
  </si>
  <si>
    <t>AP-42 Table 1.3-10, &amp; Table 1.3-11
(Some HAP do not popluate based on the fuel type selected.  AP-42 does not list certain HAP for certain fuel types.)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</si>
</sst>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000"/>
    <numFmt numFmtId="174" formatCode="#,##0.0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1"/>
    <xf numFmtId="0" fontId="5" fillId="0" borderId="0" xfId="1" applyFont="1" applyFill="1" applyBorder="1"/>
    <xf numFmtId="0" fontId="2" fillId="0" borderId="0" xfId="1" applyFill="1" applyBorder="1"/>
    <xf numFmtId="0" fontId="0" fillId="0" borderId="8" xfId="1" applyFont="1" applyFill="1" applyBorder="1"/>
    <xf numFmtId="0" fontId="0" fillId="2" borderId="11" xfId="1" applyFont="1" applyFill="1" applyBorder="1"/>
    <xf numFmtId="0" fontId="2" fillId="0" borderId="17" xfId="1" applyBorder="1"/>
    <xf numFmtId="0" fontId="0" fillId="0" borderId="11" xfId="1" applyFont="1" applyFill="1" applyBorder="1"/>
    <xf numFmtId="0" fontId="0" fillId="2" borderId="6" xfId="1" applyFont="1" applyFill="1" applyBorder="1"/>
    <xf numFmtId="0" fontId="0" fillId="0" borderId="7" xfId="1" applyFont="1" applyFill="1" applyBorder="1" applyAlignment="1">
      <alignment horizontal="center" vertical="center" wrapText="1"/>
    </xf>
    <xf numFmtId="0" fontId="3" fillId="4" borderId="24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22" xfId="0" applyFont="1" applyFill="1" applyBorder="1" applyAlignment="1">
      <alignment wrapText="1"/>
    </xf>
    <xf numFmtId="0" fontId="3" fillId="4" borderId="23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0" fillId="0" borderId="11" xfId="1" applyFont="1" applyFill="1" applyBorder="1" applyAlignment="1">
      <alignment horizontal="left"/>
    </xf>
    <xf numFmtId="0" fontId="0" fillId="2" borderId="11" xfId="1" applyFont="1" applyFill="1" applyBorder="1" applyAlignment="1">
      <alignment horizontal="left"/>
    </xf>
    <xf numFmtId="0" fontId="0" fillId="0" borderId="8" xfId="1" applyFont="1" applyFill="1" applyBorder="1" applyAlignment="1">
      <alignment horizontal="left"/>
    </xf>
    <xf numFmtId="0" fontId="0" fillId="0" borderId="0" xfId="1" applyFont="1"/>
    <xf numFmtId="0" fontId="2" fillId="3" borderId="0" xfId="1" applyFill="1"/>
    <xf numFmtId="2" fontId="2" fillId="0" borderId="0" xfId="1" applyNumberFormat="1"/>
    <xf numFmtId="0" fontId="0" fillId="0" borderId="0" xfId="1" applyFont="1" applyFill="1"/>
    <xf numFmtId="0" fontId="2" fillId="0" borderId="0" xfId="1" applyFill="1"/>
    <xf numFmtId="165" fontId="2" fillId="0" borderId="0" xfId="1" applyNumberFormat="1" applyFill="1"/>
    <xf numFmtId="2" fontId="2" fillId="0" borderId="0" xfId="1" applyNumberFormat="1" applyFill="1"/>
    <xf numFmtId="3" fontId="2" fillId="0" borderId="0" xfId="1" applyNumberFormat="1" applyFill="1"/>
    <xf numFmtId="11" fontId="2" fillId="0" borderId="0" xfId="1" applyNumberFormat="1"/>
    <xf numFmtId="11" fontId="2" fillId="0" borderId="0" xfId="1" applyNumberFormat="1" applyFill="1"/>
    <xf numFmtId="0" fontId="2" fillId="0" borderId="0" xfId="1" applyFont="1"/>
    <xf numFmtId="0" fontId="3" fillId="0" borderId="17" xfId="1" applyFont="1" applyBorder="1"/>
    <xf numFmtId="0" fontId="3" fillId="0" borderId="17" xfId="1" applyFont="1" applyFill="1" applyBorder="1"/>
    <xf numFmtId="0" fontId="2" fillId="0" borderId="31" xfId="1" applyFill="1" applyBorder="1"/>
    <xf numFmtId="0" fontId="0" fillId="0" borderId="31" xfId="1" applyFont="1" applyFill="1" applyBorder="1"/>
    <xf numFmtId="165" fontId="2" fillId="0" borderId="31" xfId="1" applyNumberFormat="1" applyFill="1" applyBorder="1"/>
    <xf numFmtId="2" fontId="2" fillId="0" borderId="31" xfId="1" applyNumberFormat="1" applyFill="1" applyBorder="1"/>
    <xf numFmtId="0" fontId="2" fillId="0" borderId="32" xfId="1" applyFill="1" applyBorder="1"/>
    <xf numFmtId="0" fontId="0" fillId="0" borderId="32" xfId="1" applyFont="1" applyFill="1" applyBorder="1"/>
    <xf numFmtId="165" fontId="2" fillId="0" borderId="32" xfId="1" applyNumberFormat="1" applyFill="1" applyBorder="1"/>
    <xf numFmtId="2" fontId="2" fillId="0" borderId="32" xfId="1" applyNumberFormat="1" applyFill="1" applyBorder="1"/>
    <xf numFmtId="0" fontId="3" fillId="0" borderId="0" xfId="1" applyFont="1" applyFill="1" applyAlignment="1">
      <alignment horizontal="center"/>
    </xf>
    <xf numFmtId="0" fontId="3" fillId="0" borderId="17" xfId="1" applyFont="1" applyBorder="1" applyAlignment="1">
      <alignment horizontal="center"/>
    </xf>
    <xf numFmtId="0" fontId="2" fillId="0" borderId="31" xfId="1" applyBorder="1"/>
    <xf numFmtId="0" fontId="2" fillId="0" borderId="32" xfId="1" applyBorder="1"/>
    <xf numFmtId="0" fontId="3" fillId="0" borderId="0" xfId="1" applyFont="1" applyAlignment="1">
      <alignment horizontal="center"/>
    </xf>
    <xf numFmtId="0" fontId="3" fillId="0" borderId="35" xfId="1" applyFont="1" applyFill="1" applyBorder="1"/>
    <xf numFmtId="0" fontId="3" fillId="0" borderId="36" xfId="1" applyFont="1" applyFill="1" applyBorder="1"/>
    <xf numFmtId="2" fontId="2" fillId="0" borderId="33" xfId="1" applyNumberFormat="1" applyFill="1" applyBorder="1"/>
    <xf numFmtId="2" fontId="2" fillId="0" borderId="34" xfId="1" applyNumberFormat="1" applyFill="1" applyBorder="1"/>
    <xf numFmtId="2" fontId="2" fillId="0" borderId="37" xfId="1" applyNumberFormat="1" applyFill="1" applyBorder="1"/>
    <xf numFmtId="2" fontId="2" fillId="0" borderId="38" xfId="1" applyNumberFormat="1" applyFill="1" applyBorder="1"/>
    <xf numFmtId="2" fontId="2" fillId="0" borderId="39" xfId="1" applyNumberFormat="1" applyFill="1" applyBorder="1"/>
    <xf numFmtId="2" fontId="2" fillId="0" borderId="40" xfId="1" applyNumberFormat="1" applyFill="1" applyBorder="1"/>
    <xf numFmtId="0" fontId="0" fillId="0" borderId="0" xfId="1" applyFont="1" applyFill="1" applyBorder="1"/>
    <xf numFmtId="3" fontId="2" fillId="0" borderId="33" xfId="1" applyNumberFormat="1" applyFill="1" applyBorder="1"/>
    <xf numFmtId="3" fontId="2" fillId="0" borderId="34" xfId="1" applyNumberFormat="1" applyFill="1" applyBorder="1"/>
    <xf numFmtId="3" fontId="2" fillId="0" borderId="37" xfId="1" applyNumberFormat="1" applyFill="1" applyBorder="1"/>
    <xf numFmtId="3" fontId="2" fillId="0" borderId="38" xfId="1" applyNumberFormat="1" applyFill="1" applyBorder="1"/>
    <xf numFmtId="3" fontId="2" fillId="0" borderId="39" xfId="1" applyNumberFormat="1" applyFill="1" applyBorder="1"/>
    <xf numFmtId="3" fontId="2" fillId="0" borderId="40" xfId="1" applyNumberFormat="1" applyFill="1" applyBorder="1"/>
    <xf numFmtId="0" fontId="2" fillId="0" borderId="34" xfId="1" applyFill="1" applyBorder="1"/>
    <xf numFmtId="0" fontId="3" fillId="0" borderId="36" xfId="1" applyFont="1" applyBorder="1"/>
    <xf numFmtId="11" fontId="2" fillId="0" borderId="33" xfId="1" applyNumberFormat="1" applyFill="1" applyBorder="1"/>
    <xf numFmtId="11" fontId="2" fillId="0" borderId="0" xfId="1" applyNumberFormat="1" applyFill="1" applyBorder="1"/>
    <xf numFmtId="0" fontId="2" fillId="0" borderId="35" xfId="1" applyBorder="1"/>
    <xf numFmtId="0" fontId="2" fillId="0" borderId="33" xfId="1" applyBorder="1"/>
    <xf numFmtId="0" fontId="0" fillId="0" borderId="0" xfId="1" quotePrefix="1" applyFont="1"/>
    <xf numFmtId="0" fontId="0" fillId="0" borderId="17" xfId="1" applyFont="1" applyBorder="1"/>
    <xf numFmtId="0" fontId="0" fillId="0" borderId="0" xfId="1" applyFont="1" applyBorder="1"/>
    <xf numFmtId="0" fontId="0" fillId="0" borderId="17" xfId="1" applyFont="1" applyFill="1" applyBorder="1"/>
    <xf numFmtId="0" fontId="0" fillId="0" borderId="29" xfId="1" applyFont="1" applyFill="1" applyBorder="1"/>
    <xf numFmtId="0" fontId="0" fillId="0" borderId="27" xfId="1" applyFont="1" applyFill="1" applyBorder="1"/>
    <xf numFmtId="0" fontId="0" fillId="0" borderId="12" xfId="1" applyFont="1" applyFill="1" applyBorder="1" applyAlignment="1">
      <alignment horizontal="center" vertical="center" wrapText="1"/>
    </xf>
    <xf numFmtId="0" fontId="0" fillId="0" borderId="30" xfId="1" applyFont="1" applyFill="1" applyBorder="1"/>
    <xf numFmtId="0" fontId="7" fillId="0" borderId="20" xfId="3" applyFont="1" applyBorder="1"/>
    <xf numFmtId="0" fontId="7" fillId="0" borderId="19" xfId="3" applyFont="1" applyBorder="1"/>
    <xf numFmtId="2" fontId="0" fillId="0" borderId="3" xfId="1" applyNumberFormat="1" applyFont="1" applyFill="1" applyBorder="1"/>
    <xf numFmtId="2" fontId="0" fillId="2" borderId="1" xfId="1" applyNumberFormat="1" applyFont="1" applyFill="1" applyBorder="1"/>
    <xf numFmtId="2" fontId="0" fillId="0" borderId="1" xfId="1" applyNumberFormat="1" applyFont="1" applyFill="1" applyBorder="1"/>
    <xf numFmtId="2" fontId="0" fillId="2" borderId="2" xfId="1" applyNumberFormat="1" applyFont="1" applyFill="1" applyBorder="1"/>
    <xf numFmtId="164" fontId="0" fillId="0" borderId="0" xfId="1" applyNumberFormat="1" applyFont="1" applyFill="1" applyBorder="1"/>
    <xf numFmtId="0" fontId="0" fillId="0" borderId="3" xfId="1" applyNumberFormat="1" applyFont="1" applyFill="1" applyBorder="1"/>
    <xf numFmtId="3" fontId="0" fillId="0" borderId="3" xfId="1" applyNumberFormat="1" applyFont="1" applyFill="1" applyBorder="1"/>
    <xf numFmtId="0" fontId="0" fillId="2" borderId="1" xfId="1" applyNumberFormat="1" applyFont="1" applyFill="1" applyBorder="1"/>
    <xf numFmtId="0" fontId="0" fillId="0" borderId="1" xfId="1" applyNumberFormat="1" applyFont="1" applyFill="1" applyBorder="1"/>
    <xf numFmtId="164" fontId="0" fillId="2" borderId="2" xfId="1" applyNumberFormat="1" applyFont="1" applyFill="1" applyBorder="1"/>
    <xf numFmtId="0" fontId="0" fillId="2" borderId="2" xfId="1" applyNumberFormat="1" applyFont="1" applyFill="1" applyBorder="1"/>
    <xf numFmtId="3" fontId="0" fillId="2" borderId="2" xfId="1" applyNumberFormat="1" applyFont="1" applyFill="1" applyBorder="1"/>
    <xf numFmtId="11" fontId="0" fillId="0" borderId="3" xfId="1" applyNumberFormat="1" applyFont="1" applyFill="1" applyBorder="1"/>
    <xf numFmtId="11" fontId="0" fillId="2" borderId="1" xfId="1" applyNumberFormat="1" applyFont="1" applyFill="1" applyBorder="1"/>
    <xf numFmtId="11" fontId="0" fillId="0" borderId="1" xfId="1" applyNumberFormat="1" applyFont="1" applyFill="1" applyBorder="1"/>
    <xf numFmtId="0" fontId="0" fillId="0" borderId="6" xfId="1" applyFont="1" applyFill="1" applyBorder="1" applyAlignment="1">
      <alignment horizontal="left"/>
    </xf>
    <xf numFmtId="11" fontId="0" fillId="0" borderId="2" xfId="1" applyNumberFormat="1" applyFont="1" applyFill="1" applyBorder="1"/>
    <xf numFmtId="164" fontId="0" fillId="2" borderId="1" xfId="1" applyNumberFormat="1" applyFont="1" applyFill="1" applyBorder="1"/>
    <xf numFmtId="0" fontId="0" fillId="2" borderId="8" xfId="1" applyFont="1" applyFill="1" applyBorder="1" applyAlignment="1">
      <alignment horizontal="left"/>
    </xf>
    <xf numFmtId="11" fontId="0" fillId="0" borderId="41" xfId="1" applyNumberFormat="1" applyFont="1" applyFill="1" applyBorder="1"/>
    <xf numFmtId="11" fontId="0" fillId="2" borderId="28" xfId="1" applyNumberFormat="1" applyFont="1" applyFill="1" applyBorder="1"/>
    <xf numFmtId="11" fontId="0" fillId="2" borderId="45" xfId="1" applyNumberFormat="1" applyFont="1" applyFill="1" applyBorder="1"/>
    <xf numFmtId="11" fontId="0" fillId="0" borderId="28" xfId="1" applyNumberFormat="1" applyFont="1" applyFill="1" applyBorder="1"/>
    <xf numFmtId="11" fontId="0" fillId="0" borderId="45" xfId="1" applyNumberFormat="1" applyFont="1" applyFill="1" applyBorder="1"/>
    <xf numFmtId="11" fontId="0" fillId="0" borderId="26" xfId="1" applyNumberFormat="1" applyFont="1" applyFill="1" applyBorder="1"/>
    <xf numFmtId="11" fontId="0" fillId="0" borderId="44" xfId="1" applyNumberFormat="1" applyFont="1" applyFill="1" applyBorder="1"/>
    <xf numFmtId="0" fontId="7" fillId="0" borderId="41" xfId="3" applyFont="1" applyFill="1" applyBorder="1"/>
    <xf numFmtId="1" fontId="0" fillId="0" borderId="46" xfId="1" applyNumberFormat="1" applyFont="1" applyFill="1" applyBorder="1"/>
    <xf numFmtId="0" fontId="7" fillId="2" borderId="28" xfId="3" applyFont="1" applyFill="1" applyBorder="1"/>
    <xf numFmtId="1" fontId="0" fillId="2" borderId="45" xfId="1" applyNumberFormat="1" applyFont="1" applyFill="1" applyBorder="1"/>
    <xf numFmtId="2" fontId="0" fillId="0" borderId="47" xfId="1" applyNumberFormat="1" applyFont="1" applyFill="1" applyBorder="1"/>
    <xf numFmtId="0" fontId="0" fillId="0" borderId="45" xfId="1" applyFont="1" applyFill="1" applyBorder="1"/>
    <xf numFmtId="2" fontId="0" fillId="2" borderId="28" xfId="1" applyNumberFormat="1" applyFont="1" applyFill="1" applyBorder="1"/>
    <xf numFmtId="0" fontId="0" fillId="2" borderId="45" xfId="1" applyFont="1" applyFill="1" applyBorder="1"/>
    <xf numFmtId="2" fontId="0" fillId="0" borderId="28" xfId="1" applyNumberFormat="1" applyFont="1" applyFill="1" applyBorder="1"/>
    <xf numFmtId="0" fontId="0" fillId="2" borderId="26" xfId="1" applyFont="1" applyFill="1" applyBorder="1"/>
    <xf numFmtId="0" fontId="0" fillId="2" borderId="44" xfId="1" applyFont="1" applyFill="1" applyBorder="1"/>
    <xf numFmtId="165" fontId="0" fillId="0" borderId="46" xfId="1" applyNumberFormat="1" applyFont="1" applyFill="1" applyBorder="1"/>
    <xf numFmtId="11" fontId="0" fillId="2" borderId="47" xfId="1" applyNumberFormat="1" applyFont="1" applyFill="1" applyBorder="1"/>
    <xf numFmtId="164" fontId="0" fillId="2" borderId="48" xfId="1" applyNumberFormat="1" applyFont="1" applyFill="1" applyBorder="1"/>
    <xf numFmtId="0" fontId="0" fillId="0" borderId="28" xfId="1" applyFont="1" applyFill="1" applyBorder="1"/>
    <xf numFmtId="0" fontId="2" fillId="6" borderId="0" xfId="1" applyFill="1"/>
    <xf numFmtId="0" fontId="2" fillId="6" borderId="31" xfId="1" applyFill="1" applyBorder="1"/>
    <xf numFmtId="0" fontId="2" fillId="6" borderId="32" xfId="1" applyFill="1" applyBorder="1"/>
    <xf numFmtId="3" fontId="2" fillId="6" borderId="0" xfId="1" applyNumberFormat="1" applyFill="1"/>
    <xf numFmtId="11" fontId="2" fillId="6" borderId="0" xfId="1" applyNumberFormat="1" applyFill="1"/>
    <xf numFmtId="2" fontId="2" fillId="6" borderId="31" xfId="1" applyNumberFormat="1" applyFill="1" applyBorder="1"/>
    <xf numFmtId="2" fontId="2" fillId="6" borderId="32" xfId="1" applyNumberFormat="1" applyFill="1" applyBorder="1"/>
    <xf numFmtId="2" fontId="2" fillId="6" borderId="0" xfId="1" applyNumberFormat="1" applyFill="1"/>
    <xf numFmtId="0" fontId="2" fillId="6" borderId="0" xfId="1" applyNumberFormat="1" applyFill="1"/>
    <xf numFmtId="3" fontId="0" fillId="3" borderId="1" xfId="1" applyNumberFormat="1" applyFont="1" applyFill="1" applyBorder="1" applyProtection="1">
      <protection locked="0"/>
    </xf>
    <xf numFmtId="0" fontId="0" fillId="3" borderId="1" xfId="1" applyNumberFormat="1" applyFont="1" applyFill="1" applyBorder="1" applyProtection="1">
      <protection locked="0"/>
    </xf>
    <xf numFmtId="174" fontId="0" fillId="5" borderId="2" xfId="1" applyNumberFormat="1" applyFont="1" applyFill="1" applyBorder="1" applyAlignment="1" applyProtection="1">
      <protection locked="0"/>
    </xf>
    <xf numFmtId="0" fontId="0" fillId="0" borderId="26" xfId="1" applyFont="1" applyFill="1" applyBorder="1"/>
    <xf numFmtId="0" fontId="0" fillId="0" borderId="12" xfId="1" applyFont="1" applyBorder="1" applyAlignment="1">
      <alignment horizontal="center" vertical="center" wrapText="1"/>
    </xf>
    <xf numFmtId="0" fontId="0" fillId="0" borderId="13" xfId="1" applyFont="1" applyFill="1" applyBorder="1" applyAlignment="1">
      <alignment horizontal="center" vertical="center" wrapText="1"/>
    </xf>
    <xf numFmtId="0" fontId="0" fillId="0" borderId="9" xfId="1" applyFont="1" applyFill="1" applyBorder="1" applyAlignment="1">
      <alignment horizontal="center" vertical="center" wrapText="1"/>
    </xf>
    <xf numFmtId="0" fontId="0" fillId="0" borderId="14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0" fillId="0" borderId="18" xfId="1" applyFont="1" applyFill="1" applyBorder="1" applyAlignment="1">
      <alignment horizontal="center" vertical="center" wrapText="1"/>
    </xf>
    <xf numFmtId="0" fontId="0" fillId="0" borderId="25" xfId="1" applyFont="1" applyFill="1" applyBorder="1" applyAlignment="1">
      <alignment horizontal="center" vertical="center" wrapText="1"/>
    </xf>
    <xf numFmtId="0" fontId="0" fillId="0" borderId="15" xfId="1" applyFont="1" applyFill="1" applyBorder="1" applyAlignment="1">
      <alignment horizontal="center" vertical="center" wrapText="1"/>
    </xf>
    <xf numFmtId="0" fontId="0" fillId="0" borderId="16" xfId="1" applyFont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wrapText="1"/>
    </xf>
    <xf numFmtId="0" fontId="3" fillId="4" borderId="43" xfId="0" applyFont="1" applyFill="1" applyBorder="1" applyAlignment="1">
      <alignment horizontal="center" wrapText="1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0" fillId="0" borderId="14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0" fillId="0" borderId="10" xfId="1" applyFont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34" xfId="1" applyNumberFormat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2" fontId="3" fillId="0" borderId="34" xfId="1" applyNumberFormat="1" applyFont="1" applyFill="1" applyBorder="1" applyAlignment="1">
      <alignment horizontal="center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4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8.28515625" style="1" bestFit="1" customWidth="1"/>
    <col min="2" max="2" width="10.85546875" style="1" bestFit="1" customWidth="1"/>
    <col min="3" max="3" width="12" style="1" bestFit="1" customWidth="1"/>
    <col min="4" max="4" width="10.5703125" style="1" bestFit="1" customWidth="1"/>
    <col min="5" max="5" width="10.85546875" style="1" bestFit="1" customWidth="1"/>
    <col min="6" max="6" width="18.28515625" style="1" bestFit="1" customWidth="1"/>
    <col min="7" max="7" width="9.28515625" style="1" bestFit="1" customWidth="1"/>
    <col min="8" max="8" width="9.28515625" style="1" hidden="1" customWidth="1"/>
    <col min="9" max="9" width="14.28515625" style="1" hidden="1" customWidth="1"/>
    <col min="10" max="10" width="39.28515625" style="1" hidden="1" customWidth="1"/>
    <col min="11" max="12" width="10.42578125" style="1" hidden="1" customWidth="1"/>
    <col min="13" max="13" width="8.42578125" style="1" hidden="1" customWidth="1"/>
    <col min="14" max="15" width="9" style="1" hidden="1" customWidth="1"/>
    <col min="16" max="16" width="8.85546875" style="1" hidden="1" customWidth="1"/>
    <col min="17" max="17" width="9.42578125" style="1" hidden="1" customWidth="1"/>
    <col min="18" max="19" width="8.85546875" style="1" hidden="1" customWidth="1"/>
    <col min="20" max="16384" width="8.85546875" style="1"/>
  </cols>
  <sheetData>
    <row r="1" spans="1:18" ht="21" thickBot="1" x14ac:dyDescent="0.35">
      <c r="A1" s="134" t="s">
        <v>57</v>
      </c>
      <c r="B1" s="134"/>
      <c r="C1" s="134"/>
      <c r="D1" s="134"/>
      <c r="E1" s="134"/>
      <c r="F1" s="134"/>
      <c r="J1" s="19" t="s">
        <v>89</v>
      </c>
      <c r="K1" s="20">
        <v>140</v>
      </c>
      <c r="L1" s="19" t="s">
        <v>91</v>
      </c>
      <c r="O1" s="19"/>
      <c r="P1" s="19" t="s">
        <v>151</v>
      </c>
    </row>
    <row r="2" spans="1:18" x14ac:dyDescent="0.2">
      <c r="A2" s="10" t="s">
        <v>42</v>
      </c>
      <c r="B2" s="11"/>
      <c r="C2" s="11"/>
      <c r="D2" s="12"/>
      <c r="E2" s="19"/>
      <c r="F2" s="19"/>
      <c r="J2" s="19" t="s">
        <v>90</v>
      </c>
      <c r="K2" s="20">
        <v>150</v>
      </c>
      <c r="L2" s="19" t="s">
        <v>91</v>
      </c>
      <c r="O2" s="1">
        <f>IF($C$8="Distillate",$B$3/$K$1*1000,$B$3/$K$2*1000)</f>
        <v>178.57142857142858</v>
      </c>
      <c r="P2" s="66" t="s">
        <v>150</v>
      </c>
    </row>
    <row r="3" spans="1:18" ht="15" customHeight="1" x14ac:dyDescent="0.2">
      <c r="A3" s="74" t="s">
        <v>2</v>
      </c>
      <c r="B3" s="126">
        <v>25</v>
      </c>
      <c r="C3" s="116" t="s">
        <v>55</v>
      </c>
      <c r="D3" s="70"/>
      <c r="E3" s="19"/>
      <c r="F3" s="19"/>
    </row>
    <row r="4" spans="1:18" ht="15" customHeight="1" thickBot="1" x14ac:dyDescent="0.25">
      <c r="A4" s="74" t="s">
        <v>0</v>
      </c>
      <c r="B4" s="126">
        <v>8760</v>
      </c>
      <c r="C4" s="116" t="s">
        <v>1</v>
      </c>
      <c r="D4" s="70"/>
      <c r="E4" s="19"/>
      <c r="F4" s="19"/>
      <c r="H4" s="30" t="s">
        <v>71</v>
      </c>
      <c r="I4" s="30" t="s">
        <v>72</v>
      </c>
      <c r="J4" s="30" t="s">
        <v>107</v>
      </c>
      <c r="K4" s="30" t="s">
        <v>96</v>
      </c>
      <c r="L4" s="30" t="s">
        <v>75</v>
      </c>
      <c r="M4" s="30" t="s">
        <v>76</v>
      </c>
      <c r="N4" s="30" t="s">
        <v>77</v>
      </c>
      <c r="O4" s="30" t="s">
        <v>87</v>
      </c>
    </row>
    <row r="5" spans="1:18" ht="15" customHeight="1" x14ac:dyDescent="0.2">
      <c r="A5" s="74" t="s">
        <v>45</v>
      </c>
      <c r="B5" s="126" t="s">
        <v>111</v>
      </c>
      <c r="C5" s="116"/>
      <c r="D5" s="70"/>
      <c r="E5" s="19"/>
      <c r="F5" s="19"/>
      <c r="H5" s="23"/>
      <c r="I5" s="22" t="s">
        <v>73</v>
      </c>
      <c r="J5" s="22" t="s">
        <v>92</v>
      </c>
      <c r="K5" s="117">
        <v>47</v>
      </c>
      <c r="L5" s="24">
        <f>$K5/$K$2</f>
        <v>0.31333333333333335</v>
      </c>
      <c r="M5" s="25">
        <f t="shared" ref="M5:M20" si="0">$L5*$B$3</f>
        <v>7.8333333333333339</v>
      </c>
      <c r="N5" s="25">
        <f t="shared" ref="N5:N20" si="1">$M5*$B$4/2000</f>
        <v>34.31</v>
      </c>
      <c r="O5" s="23" t="str">
        <f>IF($E$13=N5,"Match","")</f>
        <v/>
      </c>
    </row>
    <row r="6" spans="1:18" ht="15" customHeight="1" x14ac:dyDescent="0.2">
      <c r="A6" s="74" t="s">
        <v>152</v>
      </c>
      <c r="B6" s="116" t="str">
        <f>IF($B$5="Utility","Utility Power Distribution",IF($B$5="Industrial","Manufacturing, etc.",IF($B$5="Commercial","Hospitals, Hotels, etc.","Residential Units")))</f>
        <v>Manufacturing, etc.</v>
      </c>
      <c r="C6" s="73"/>
      <c r="D6" s="70"/>
      <c r="E6" s="19"/>
      <c r="F6" s="19"/>
      <c r="H6" s="23"/>
      <c r="I6" s="22"/>
      <c r="J6" s="22"/>
      <c r="K6" s="117"/>
      <c r="L6" s="24"/>
      <c r="M6" s="25"/>
      <c r="N6" s="25"/>
      <c r="O6" s="23"/>
    </row>
    <row r="7" spans="1:18" ht="15" customHeight="1" x14ac:dyDescent="0.2">
      <c r="A7" s="74" t="s">
        <v>58</v>
      </c>
      <c r="B7" s="126" t="s">
        <v>59</v>
      </c>
      <c r="C7" s="116"/>
      <c r="D7" s="70"/>
      <c r="E7" s="19"/>
      <c r="F7" s="19"/>
      <c r="H7" s="23"/>
      <c r="I7" s="22" t="s">
        <v>73</v>
      </c>
      <c r="J7" s="22" t="s">
        <v>93</v>
      </c>
      <c r="K7" s="117">
        <v>40</v>
      </c>
      <c r="L7" s="24">
        <f t="shared" ref="L7:L18" si="2">$K7/$K$2</f>
        <v>0.26666666666666666</v>
      </c>
      <c r="M7" s="25">
        <f t="shared" si="0"/>
        <v>6.666666666666667</v>
      </c>
      <c r="N7" s="25">
        <f t="shared" si="1"/>
        <v>29.2</v>
      </c>
      <c r="O7" s="23" t="str">
        <f t="shared" ref="O7:O20" si="3">IF($E$13=N7,"Match","")</f>
        <v/>
      </c>
      <c r="P7" s="19"/>
      <c r="Q7" s="19"/>
      <c r="R7" s="66"/>
    </row>
    <row r="8" spans="1:18" ht="15" customHeight="1" x14ac:dyDescent="0.2">
      <c r="A8" s="74" t="s">
        <v>63</v>
      </c>
      <c r="B8" s="126">
        <v>2</v>
      </c>
      <c r="C8" s="116" t="str">
        <f>IF(B8=1,"Distillate",IF(B8=2,"Distillate",IF(B8=4,"Bunker",IF(B8=5,"Residual",IF(B8=6,"Residual","")))))</f>
        <v>Distillate</v>
      </c>
      <c r="D8" s="70"/>
      <c r="E8" s="19"/>
      <c r="F8" s="19"/>
      <c r="H8" s="23"/>
      <c r="I8" s="22" t="s">
        <v>73</v>
      </c>
      <c r="J8" s="22" t="s">
        <v>94</v>
      </c>
      <c r="K8" s="117">
        <v>32</v>
      </c>
      <c r="L8" s="24">
        <f t="shared" si="2"/>
        <v>0.21333333333333335</v>
      </c>
      <c r="M8" s="25">
        <f t="shared" si="0"/>
        <v>5.3333333333333339</v>
      </c>
      <c r="N8" s="25">
        <f t="shared" si="1"/>
        <v>23.360000000000003</v>
      </c>
      <c r="O8" s="23" t="str">
        <f t="shared" si="3"/>
        <v/>
      </c>
      <c r="P8" s="19"/>
      <c r="Q8" s="19"/>
      <c r="R8" s="66"/>
    </row>
    <row r="9" spans="1:18" ht="15" customHeight="1" x14ac:dyDescent="0.2">
      <c r="A9" s="74" t="s">
        <v>35</v>
      </c>
      <c r="B9" s="127">
        <v>1.5E-3</v>
      </c>
      <c r="C9" s="116" t="str">
        <f>CONCATENATE("% or ",B9*10000," ppm")</f>
        <v>% or 15 ppm</v>
      </c>
      <c r="D9" s="70"/>
      <c r="E9" s="19"/>
      <c r="F9" s="19"/>
      <c r="H9" s="23"/>
      <c r="I9" s="22" t="s">
        <v>73</v>
      </c>
      <c r="J9" s="22" t="s">
        <v>95</v>
      </c>
      <c r="K9" s="117">
        <v>26</v>
      </c>
      <c r="L9" s="24">
        <f t="shared" si="2"/>
        <v>0.17333333333333334</v>
      </c>
      <c r="M9" s="25">
        <f t="shared" si="0"/>
        <v>4.3333333333333339</v>
      </c>
      <c r="N9" s="25">
        <f t="shared" si="1"/>
        <v>18.980000000000004</v>
      </c>
      <c r="O9" s="23" t="str">
        <f t="shared" si="3"/>
        <v/>
      </c>
    </row>
    <row r="10" spans="1:18" ht="15" customHeight="1" thickBot="1" x14ac:dyDescent="0.25">
      <c r="A10" s="75" t="s">
        <v>148</v>
      </c>
      <c r="B10" s="128">
        <f>$O$2</f>
        <v>178.57142857142858</v>
      </c>
      <c r="C10" s="129" t="s">
        <v>149</v>
      </c>
      <c r="D10" s="71"/>
      <c r="E10" s="19"/>
      <c r="F10" s="19"/>
      <c r="H10" s="23"/>
      <c r="I10" s="22" t="s">
        <v>73</v>
      </c>
      <c r="J10" s="22" t="s">
        <v>97</v>
      </c>
      <c r="K10" s="117">
        <v>47</v>
      </c>
      <c r="L10" s="24">
        <f t="shared" si="2"/>
        <v>0.31333333333333335</v>
      </c>
      <c r="M10" s="25">
        <f t="shared" si="0"/>
        <v>7.8333333333333339</v>
      </c>
      <c r="N10" s="25">
        <f t="shared" si="1"/>
        <v>34.31</v>
      </c>
      <c r="O10" s="23" t="str">
        <f t="shared" si="3"/>
        <v/>
      </c>
    </row>
    <row r="11" spans="1:18" ht="13.5" thickBot="1" x14ac:dyDescent="0.25">
      <c r="A11" s="69"/>
      <c r="B11" s="69"/>
      <c r="C11" s="69"/>
      <c r="D11" s="69"/>
      <c r="E11" s="67"/>
      <c r="F11" s="67"/>
      <c r="H11" s="23"/>
      <c r="I11" s="22" t="s">
        <v>73</v>
      </c>
      <c r="J11" s="22" t="s">
        <v>98</v>
      </c>
      <c r="K11" s="117">
        <v>32</v>
      </c>
      <c r="L11" s="24">
        <f t="shared" si="2"/>
        <v>0.21333333333333335</v>
      </c>
      <c r="M11" s="25">
        <f t="shared" si="0"/>
        <v>5.3333333333333339</v>
      </c>
      <c r="N11" s="25">
        <f t="shared" si="1"/>
        <v>23.360000000000003</v>
      </c>
      <c r="O11" s="23" t="str">
        <f t="shared" si="3"/>
        <v/>
      </c>
      <c r="P11" s="66"/>
    </row>
    <row r="12" spans="1:18" ht="42.75" customHeight="1" thickBot="1" x14ac:dyDescent="0.25">
      <c r="A12" s="13" t="s">
        <v>41</v>
      </c>
      <c r="B12" s="139" t="s">
        <v>56</v>
      </c>
      <c r="C12" s="140"/>
      <c r="D12" s="14" t="s">
        <v>49</v>
      </c>
      <c r="E12" s="14" t="s">
        <v>50</v>
      </c>
      <c r="F12" s="15" t="s">
        <v>46</v>
      </c>
      <c r="H12" s="23"/>
      <c r="I12" s="22" t="s">
        <v>73</v>
      </c>
      <c r="J12" s="22" t="s">
        <v>99</v>
      </c>
      <c r="K12" s="117">
        <v>47</v>
      </c>
      <c r="L12" s="24">
        <f t="shared" si="2"/>
        <v>0.31333333333333335</v>
      </c>
      <c r="M12" s="25">
        <f t="shared" si="0"/>
        <v>7.8333333333333339</v>
      </c>
      <c r="N12" s="25">
        <f t="shared" si="1"/>
        <v>34.31</v>
      </c>
      <c r="O12" s="23" t="str">
        <f t="shared" si="3"/>
        <v/>
      </c>
    </row>
    <row r="13" spans="1:18" ht="15.75" customHeight="1" x14ac:dyDescent="0.3">
      <c r="A13" s="4" t="s">
        <v>3</v>
      </c>
      <c r="B13" s="102"/>
      <c r="C13" s="103">
        <f>IF($B$3&gt;100,IF($B$7="Normal",IF($B$8=6,$K$5,IF($B$8=5,$K$10,IF($B$8=4,$K$12,$K$14))),IF($B$8=6,$K$8,IF($B$8=5,$K$11,$K$13))),IF($B$5="Residential",$K$20,IF($B$8=6,$K$16,IF($B$8=5,$K$17,IF($B$8=4,$K$18,$K$19)))))</f>
        <v>20</v>
      </c>
      <c r="D13" s="76">
        <f>$C13*$B$10/1000</f>
        <v>3.5714285714285716</v>
      </c>
      <c r="E13" s="76">
        <f t="shared" ref="E13:E20" si="4">D13*$B$4/2000</f>
        <v>15.642857142857142</v>
      </c>
      <c r="F13" s="131" t="s">
        <v>68</v>
      </c>
      <c r="H13" s="23"/>
      <c r="I13" s="22" t="s">
        <v>73</v>
      </c>
      <c r="J13" s="22" t="s">
        <v>100</v>
      </c>
      <c r="K13" s="117">
        <v>32</v>
      </c>
      <c r="L13" s="24">
        <f t="shared" si="2"/>
        <v>0.21333333333333335</v>
      </c>
      <c r="M13" s="25">
        <f t="shared" si="0"/>
        <v>5.3333333333333339</v>
      </c>
      <c r="N13" s="25">
        <f t="shared" si="1"/>
        <v>23.360000000000003</v>
      </c>
      <c r="O13" s="23" t="str">
        <f t="shared" si="3"/>
        <v/>
      </c>
    </row>
    <row r="14" spans="1:18" x14ac:dyDescent="0.2">
      <c r="A14" s="5" t="s">
        <v>4</v>
      </c>
      <c r="B14" s="104"/>
      <c r="C14" s="105">
        <f>IF($B$3&gt;100,IF($B$7="Normal",IF($B$8=6,$K$23,IF($B$8=5,$K$27,IF($B$8=4,$K$29,$K$31))),IF($B$8=6,$K$25,IF($B$8=5,$K$28,$K$30))),IF($B$5="Residential",$K$37,IF($B$8=6,$K$33,IF($B$8=5,$K$34,IF($B$8=4,$K$35,$K$36)))))</f>
        <v>5</v>
      </c>
      <c r="D14" s="77">
        <f t="shared" ref="D14:D19" si="5">$C14*$B$10/1000</f>
        <v>0.8928571428571429</v>
      </c>
      <c r="E14" s="77">
        <f t="shared" si="4"/>
        <v>3.9107142857142856</v>
      </c>
      <c r="F14" s="132"/>
      <c r="H14" s="23"/>
      <c r="I14" s="22" t="s">
        <v>73</v>
      </c>
      <c r="J14" s="22" t="s">
        <v>101</v>
      </c>
      <c r="K14" s="117">
        <v>24</v>
      </c>
      <c r="L14" s="24">
        <f>$K14/$K$1</f>
        <v>0.17142857142857143</v>
      </c>
      <c r="M14" s="25">
        <f t="shared" si="0"/>
        <v>4.2857142857142856</v>
      </c>
      <c r="N14" s="25">
        <f t="shared" si="1"/>
        <v>18.771428571428572</v>
      </c>
      <c r="O14" s="23" t="str">
        <f t="shared" si="3"/>
        <v/>
      </c>
    </row>
    <row r="15" spans="1:18" ht="15.75" customHeight="1" x14ac:dyDescent="0.3">
      <c r="A15" s="7" t="s">
        <v>5</v>
      </c>
      <c r="B15" s="106"/>
      <c r="C15" s="107">
        <f>IF($B$5="Utility",IF($B$8=6,$L$63+$K$59,IF($B$8=5,$L$64+$K$59,$L$65+$K$59)),IF($B$5="Industrial",IF($B$8=6,$L$66+$K$59,IF($B$8=5,$L$67+$K$59,IF($B$8=4,$L$68+$K$59,$L$69+$K$58))),IF($B$8=6,$L$70+$K$59,IF($B$8=5,$L$71+$K$59,IF($B$8=4,$L$72+$K$59,$L$73+$K$58)))))</f>
        <v>2.2999999999999998</v>
      </c>
      <c r="D15" s="78">
        <f t="shared" si="5"/>
        <v>0.4107142857142857</v>
      </c>
      <c r="E15" s="78">
        <f t="shared" si="4"/>
        <v>1.7989285714285714</v>
      </c>
      <c r="F15" s="133" t="s">
        <v>67</v>
      </c>
      <c r="H15" s="32"/>
      <c r="I15" s="33" t="s">
        <v>73</v>
      </c>
      <c r="J15" s="33" t="s">
        <v>102</v>
      </c>
      <c r="K15" s="118">
        <v>10</v>
      </c>
      <c r="L15" s="34">
        <f>$K15/$K$1</f>
        <v>7.1428571428571425E-2</v>
      </c>
      <c r="M15" s="35">
        <f t="shared" si="0"/>
        <v>1.7857142857142856</v>
      </c>
      <c r="N15" s="35">
        <f t="shared" si="1"/>
        <v>7.8214285714285703</v>
      </c>
      <c r="O15" s="32" t="str">
        <f t="shared" si="3"/>
        <v/>
      </c>
    </row>
    <row r="16" spans="1:18" ht="15.75" x14ac:dyDescent="0.3">
      <c r="A16" s="5" t="s">
        <v>6</v>
      </c>
      <c r="B16" s="108"/>
      <c r="C16" s="109">
        <f>IF($B$5="Utility",IF($B$8=6,$L$77+$K$59,IF($B$8=5,$L$78+$K$59,$L$79+$K$59)),IF($B$5="Industrial",IF($B$8=6,$L$80+$K$59,IF($B$8=5,$L$81+$K$59,IF($B$8=4,$L$82+$K$59,$L$83+$K$58))),IF($B$8=6,$L$84+$K$59,IF($B$8=5,$L$85+$K$59,IF($B$8=4,$L$86+$K$59,$L$87+$K$58)))))</f>
        <v>1.55</v>
      </c>
      <c r="D16" s="77">
        <f t="shared" si="5"/>
        <v>0.27678571428571436</v>
      </c>
      <c r="E16" s="77">
        <f t="shared" si="4"/>
        <v>1.212321428571429</v>
      </c>
      <c r="F16" s="131"/>
      <c r="H16" s="36"/>
      <c r="I16" s="37" t="s">
        <v>74</v>
      </c>
      <c r="J16" s="37" t="s">
        <v>92</v>
      </c>
      <c r="K16" s="119">
        <v>55</v>
      </c>
      <c r="L16" s="38">
        <f t="shared" si="2"/>
        <v>0.36666666666666664</v>
      </c>
      <c r="M16" s="39">
        <f t="shared" si="0"/>
        <v>9.1666666666666661</v>
      </c>
      <c r="N16" s="39">
        <f t="shared" si="1"/>
        <v>40.15</v>
      </c>
      <c r="O16" s="36" t="str">
        <f t="shared" si="3"/>
        <v/>
      </c>
      <c r="P16" s="19"/>
      <c r="Q16" s="19"/>
      <c r="R16" s="66"/>
    </row>
    <row r="17" spans="1:15" ht="15.75" x14ac:dyDescent="0.3">
      <c r="A17" s="7" t="s">
        <v>7</v>
      </c>
      <c r="B17" s="110"/>
      <c r="C17" s="107">
        <f>IF($B$3&gt;100,IF($B$7="Normal",IF($B$8=6,$L$41,IF($B$8=5,$L$45,IF($B$8=4,$L$47,$L$49))),IF($B$8=6,$L$43,IF($B$8=5,$L$46,$L$48))),IF($B$5="Residential",$L$55,IF($B$8=6,$L$51,IF($B$8=5,$L$52,IF($B$8=4,$L$53,$L$54)))))</f>
        <v>0.21299999999999999</v>
      </c>
      <c r="D17" s="78">
        <f t="shared" si="5"/>
        <v>3.8035714285714284E-2</v>
      </c>
      <c r="E17" s="78">
        <f t="shared" si="4"/>
        <v>0.16659642857142856</v>
      </c>
      <c r="F17" s="72" t="s">
        <v>68</v>
      </c>
      <c r="H17" s="23"/>
      <c r="I17" s="22" t="s">
        <v>74</v>
      </c>
      <c r="J17" s="22" t="s">
        <v>97</v>
      </c>
      <c r="K17" s="117">
        <v>55</v>
      </c>
      <c r="L17" s="24">
        <f t="shared" si="2"/>
        <v>0.36666666666666664</v>
      </c>
      <c r="M17" s="25">
        <f t="shared" si="0"/>
        <v>9.1666666666666661</v>
      </c>
      <c r="N17" s="25">
        <f t="shared" si="1"/>
        <v>40.15</v>
      </c>
      <c r="O17" s="23" t="str">
        <f t="shared" si="3"/>
        <v/>
      </c>
    </row>
    <row r="18" spans="1:15" x14ac:dyDescent="0.2">
      <c r="A18" s="5" t="s">
        <v>8</v>
      </c>
      <c r="B18" s="108"/>
      <c r="C18" s="109">
        <f>IF($B$5="Utility",IF($B$7="Normal",IF($B$8=6,$K$90,IF($B$8=5,$K$92,$K$94)),IF($B$8=6,$K$91,IF($B$8=5,$K$93,$K$95))),IF($B$5="Industrial",IF($B$8=6,$K$96,IF($B$8=5,$K$97,IF($B$8=4,$K$99,$K$98))),IF($B$5="Residential",$K$104,IF($B$8=6,$K$100,IF($B$8=5,$K$101,IF($B$8=4,$K$103,$K$102))))))</f>
        <v>0.2</v>
      </c>
      <c r="D18" s="77">
        <f t="shared" si="5"/>
        <v>3.5714285714285712E-2</v>
      </c>
      <c r="E18" s="77">
        <f t="shared" si="4"/>
        <v>0.15642857142857142</v>
      </c>
      <c r="F18" s="72" t="s">
        <v>44</v>
      </c>
      <c r="H18" s="23"/>
      <c r="I18" s="22" t="s">
        <v>74</v>
      </c>
      <c r="J18" s="22" t="s">
        <v>99</v>
      </c>
      <c r="K18" s="117">
        <v>20</v>
      </c>
      <c r="L18" s="24">
        <f t="shared" si="2"/>
        <v>0.13333333333333333</v>
      </c>
      <c r="M18" s="25">
        <f t="shared" si="0"/>
        <v>3.3333333333333335</v>
      </c>
      <c r="N18" s="25">
        <f t="shared" si="1"/>
        <v>14.6</v>
      </c>
      <c r="O18" s="23" t="str">
        <f t="shared" si="3"/>
        <v/>
      </c>
    </row>
    <row r="19" spans="1:15" x14ac:dyDescent="0.2">
      <c r="A19" s="7" t="s">
        <v>9</v>
      </c>
      <c r="B19" s="110"/>
      <c r="C19" s="99">
        <f>IF($C$8="Distillate",L192,$K$207)</f>
        <v>1.2600000000000001E-3</v>
      </c>
      <c r="D19" s="78">
        <f t="shared" si="5"/>
        <v>2.2500000000000002E-4</v>
      </c>
      <c r="E19" s="78">
        <f t="shared" si="4"/>
        <v>9.8550000000000005E-4</v>
      </c>
      <c r="F19" s="72" t="s">
        <v>62</v>
      </c>
      <c r="H19" s="23"/>
      <c r="I19" s="22" t="s">
        <v>74</v>
      </c>
      <c r="J19" s="22" t="s">
        <v>103</v>
      </c>
      <c r="K19" s="117">
        <v>20</v>
      </c>
      <c r="L19" s="24">
        <f>$K19/$K$1</f>
        <v>0.14285714285714285</v>
      </c>
      <c r="M19" s="25">
        <f t="shared" si="0"/>
        <v>3.5714285714285712</v>
      </c>
      <c r="N19" s="25">
        <f t="shared" si="1"/>
        <v>15.642857142857141</v>
      </c>
      <c r="O19" s="23" t="str">
        <f t="shared" si="3"/>
        <v>Match</v>
      </c>
    </row>
    <row r="20" spans="1:15" ht="13.5" thickBot="1" x14ac:dyDescent="0.25">
      <c r="A20" s="8" t="s">
        <v>52</v>
      </c>
      <c r="B20" s="111"/>
      <c r="C20" s="112"/>
      <c r="D20" s="79">
        <f>SUM(D29:D61)+D19</f>
        <v>1.4138067160714285E-2</v>
      </c>
      <c r="E20" s="79">
        <f t="shared" si="4"/>
        <v>6.1924734163928567E-2</v>
      </c>
      <c r="F20" s="9" t="s">
        <v>54</v>
      </c>
      <c r="H20" s="23"/>
      <c r="I20" s="22" t="s">
        <v>74</v>
      </c>
      <c r="J20" s="22" t="s">
        <v>104</v>
      </c>
      <c r="K20" s="117">
        <v>18</v>
      </c>
      <c r="L20" s="24">
        <f>$K20/$K$1</f>
        <v>0.12857142857142856</v>
      </c>
      <c r="M20" s="25">
        <f t="shared" si="0"/>
        <v>3.214285714285714</v>
      </c>
      <c r="N20" s="25">
        <f t="shared" si="1"/>
        <v>14.078571428571427</v>
      </c>
      <c r="O20" s="23" t="str">
        <f t="shared" si="3"/>
        <v/>
      </c>
    </row>
    <row r="21" spans="1:15" ht="13.5" thickBot="1" x14ac:dyDescent="0.25">
      <c r="A21" s="2"/>
      <c r="B21" s="2"/>
      <c r="C21" s="53"/>
      <c r="D21" s="80"/>
      <c r="E21" s="80"/>
      <c r="F21" s="68"/>
      <c r="H21" s="23"/>
      <c r="I21" s="23"/>
      <c r="J21" s="23"/>
      <c r="K21" s="23"/>
      <c r="L21" s="23"/>
      <c r="M21" s="23"/>
      <c r="N21" s="23"/>
      <c r="O21" s="23"/>
    </row>
    <row r="22" spans="1:15" ht="42.75" customHeight="1" thickBot="1" x14ac:dyDescent="0.25">
      <c r="A22" s="13" t="s">
        <v>51</v>
      </c>
      <c r="B22" s="14" t="s">
        <v>47</v>
      </c>
      <c r="C22" s="14" t="s">
        <v>56</v>
      </c>
      <c r="D22" s="14" t="s">
        <v>49</v>
      </c>
      <c r="E22" s="14" t="s">
        <v>50</v>
      </c>
      <c r="F22" s="15" t="s">
        <v>46</v>
      </c>
      <c r="H22" s="31" t="s">
        <v>4</v>
      </c>
      <c r="I22" s="31" t="s">
        <v>72</v>
      </c>
      <c r="J22" s="30" t="s">
        <v>107</v>
      </c>
      <c r="K22" s="30" t="s">
        <v>96</v>
      </c>
      <c r="L22" s="31" t="s">
        <v>75</v>
      </c>
      <c r="M22" s="31" t="s">
        <v>76</v>
      </c>
      <c r="N22" s="31" t="s">
        <v>77</v>
      </c>
      <c r="O22" s="30" t="s">
        <v>87</v>
      </c>
    </row>
    <row r="23" spans="1:15" ht="15.75" x14ac:dyDescent="0.3">
      <c r="A23" s="4" t="s">
        <v>145</v>
      </c>
      <c r="B23" s="81">
        <v>1</v>
      </c>
      <c r="C23" s="82">
        <f>IF($B$8=1,$K$129,IF($B$8=2,$K$130,$K$131))</f>
        <v>22300</v>
      </c>
      <c r="D23" s="82">
        <f t="shared" ref="D23:D25" si="6">$C23*$B$10/1000</f>
        <v>3982.1428571428573</v>
      </c>
      <c r="E23" s="82">
        <f>D23*$B$4/2000</f>
        <v>17441.785714285717</v>
      </c>
      <c r="F23" s="135" t="s">
        <v>66</v>
      </c>
      <c r="H23" s="23"/>
      <c r="I23" s="22" t="s">
        <v>73</v>
      </c>
      <c r="J23" s="22" t="s">
        <v>92</v>
      </c>
      <c r="K23" s="117">
        <v>5</v>
      </c>
      <c r="L23" s="24">
        <f t="shared" ref="L23:L35" si="7">$K23/$K$2</f>
        <v>3.3333333333333333E-2</v>
      </c>
      <c r="M23" s="25">
        <f t="shared" ref="M23:M37" si="8">$L23*$B$3</f>
        <v>0.83333333333333337</v>
      </c>
      <c r="N23" s="25">
        <f t="shared" ref="N23:N37" si="9">$M23*$B$4/2000</f>
        <v>3.65</v>
      </c>
      <c r="O23" s="23" t="str">
        <f t="shared" ref="O23:O37" si="10">IF($E$14=N23,"Match","")</f>
        <v/>
      </c>
    </row>
    <row r="24" spans="1:15" x14ac:dyDescent="0.2">
      <c r="A24" s="5" t="s">
        <v>48</v>
      </c>
      <c r="B24" s="83">
        <v>25</v>
      </c>
      <c r="C24" s="93">
        <f>IF($B$5="Utility",IF($B$7="Normal",IF($B$8=6,$K$107,IF($B$8=5,$K$109,$K$111)),IF($B$8=6,$K$108,IF($B$8=5,$K$110,$K$112))),IF($B$5="Industrial",IF($B$8=6,$K$113,IF($B$8=5,$K$114,IF($B$8=4,$K$116,$K$115))),IF($B$5="Residential",$K$121,IF($B$8=6,$K$117,IF($B$8=5,$K$118,IF($B$8=4,$K$120,$K$119))))))</f>
        <v>5.1999999999999998E-2</v>
      </c>
      <c r="D24" s="77">
        <f t="shared" si="6"/>
        <v>9.285714285714286E-3</v>
      </c>
      <c r="E24" s="77">
        <f>D24*$B$4/2000</f>
        <v>4.0671428571428574E-2</v>
      </c>
      <c r="F24" s="131"/>
      <c r="H24" s="23"/>
      <c r="I24" s="22" t="s">
        <v>73</v>
      </c>
      <c r="J24" s="22" t="s">
        <v>93</v>
      </c>
      <c r="K24" s="117">
        <v>5</v>
      </c>
      <c r="L24" s="24">
        <f t="shared" si="7"/>
        <v>3.3333333333333333E-2</v>
      </c>
      <c r="M24" s="25">
        <f t="shared" si="8"/>
        <v>0.83333333333333337</v>
      </c>
      <c r="N24" s="25">
        <f t="shared" si="9"/>
        <v>3.65</v>
      </c>
      <c r="O24" s="23" t="str">
        <f t="shared" si="10"/>
        <v/>
      </c>
    </row>
    <row r="25" spans="1:15" ht="15.75" x14ac:dyDescent="0.3">
      <c r="A25" s="7" t="s">
        <v>146</v>
      </c>
      <c r="B25" s="84">
        <v>298</v>
      </c>
      <c r="C25" s="84">
        <f>IF($B$5="Residential",$K$126,IF($C$8="Distillate",$K$125,$K$124))</f>
        <v>0.26</v>
      </c>
      <c r="D25" s="78">
        <f t="shared" si="6"/>
        <v>4.642857142857143E-2</v>
      </c>
      <c r="E25" s="78">
        <f>D25*$B$4/2000</f>
        <v>0.20335714285714285</v>
      </c>
      <c r="F25" s="136"/>
      <c r="H25" s="23"/>
      <c r="I25" s="22" t="s">
        <v>73</v>
      </c>
      <c r="J25" s="22" t="s">
        <v>94</v>
      </c>
      <c r="K25" s="117">
        <v>5</v>
      </c>
      <c r="L25" s="24">
        <f t="shared" si="7"/>
        <v>3.3333333333333333E-2</v>
      </c>
      <c r="M25" s="25">
        <f t="shared" si="8"/>
        <v>0.83333333333333337</v>
      </c>
      <c r="N25" s="25">
        <f t="shared" si="9"/>
        <v>3.65</v>
      </c>
      <c r="O25" s="23" t="str">
        <f t="shared" si="10"/>
        <v/>
      </c>
    </row>
    <row r="26" spans="1:15" ht="16.5" thickBot="1" x14ac:dyDescent="0.35">
      <c r="A26" s="8" t="s">
        <v>147</v>
      </c>
      <c r="B26" s="85"/>
      <c r="C26" s="86"/>
      <c r="D26" s="87"/>
      <c r="E26" s="87">
        <f>(D23*B23+D24*B24+D25*B25)*$B$4/2000</f>
        <v>17503.402928571428</v>
      </c>
      <c r="F26" s="137"/>
      <c r="H26" s="23"/>
      <c r="I26" s="22" t="s">
        <v>73</v>
      </c>
      <c r="J26" s="22" t="s">
        <v>95</v>
      </c>
      <c r="K26" s="117">
        <v>5</v>
      </c>
      <c r="L26" s="24">
        <f t="shared" si="7"/>
        <v>3.3333333333333333E-2</v>
      </c>
      <c r="M26" s="25">
        <f t="shared" si="8"/>
        <v>0.83333333333333337</v>
      </c>
      <c r="N26" s="25">
        <f t="shared" si="9"/>
        <v>3.65</v>
      </c>
      <c r="O26" s="23" t="str">
        <f t="shared" si="10"/>
        <v/>
      </c>
    </row>
    <row r="27" spans="1:15" ht="13.5" thickBot="1" x14ac:dyDescent="0.25">
      <c r="A27" s="53"/>
      <c r="B27" s="53"/>
      <c r="C27" s="53"/>
      <c r="D27" s="53"/>
      <c r="E27" s="53"/>
      <c r="F27" s="68"/>
      <c r="H27" s="23"/>
      <c r="I27" s="22" t="s">
        <v>73</v>
      </c>
      <c r="J27" s="22" t="s">
        <v>97</v>
      </c>
      <c r="K27" s="117">
        <v>5</v>
      </c>
      <c r="L27" s="24">
        <f t="shared" si="7"/>
        <v>3.3333333333333333E-2</v>
      </c>
      <c r="M27" s="25">
        <f t="shared" si="8"/>
        <v>0.83333333333333337</v>
      </c>
      <c r="N27" s="25">
        <f t="shared" si="9"/>
        <v>3.65</v>
      </c>
      <c r="O27" s="23" t="str">
        <f t="shared" si="10"/>
        <v/>
      </c>
    </row>
    <row r="28" spans="1:15" ht="42.75" customHeight="1" thickBot="1" x14ac:dyDescent="0.25">
      <c r="A28" s="13" t="s">
        <v>53</v>
      </c>
      <c r="B28" s="139" t="s">
        <v>56</v>
      </c>
      <c r="C28" s="140"/>
      <c r="D28" s="14" t="s">
        <v>49</v>
      </c>
      <c r="E28" s="14" t="s">
        <v>50</v>
      </c>
      <c r="F28" s="15" t="s">
        <v>46</v>
      </c>
      <c r="H28" s="23"/>
      <c r="I28" s="22" t="s">
        <v>73</v>
      </c>
      <c r="J28" s="22" t="s">
        <v>98</v>
      </c>
      <c r="K28" s="117">
        <v>5</v>
      </c>
      <c r="L28" s="24">
        <f t="shared" si="7"/>
        <v>3.3333333333333333E-2</v>
      </c>
      <c r="M28" s="25">
        <f t="shared" si="8"/>
        <v>0.83333333333333337</v>
      </c>
      <c r="N28" s="25">
        <f t="shared" si="9"/>
        <v>3.65</v>
      </c>
      <c r="O28" s="23" t="str">
        <f t="shared" si="10"/>
        <v/>
      </c>
    </row>
    <row r="29" spans="1:15" x14ac:dyDescent="0.2">
      <c r="A29" s="18" t="s">
        <v>64</v>
      </c>
      <c r="B29" s="95"/>
      <c r="C29" s="113">
        <f>IF($C$8="Distillate",K157,K156)</f>
        <v>3.3E-3</v>
      </c>
      <c r="D29" s="88">
        <f t="shared" ref="D29:D49" si="11">$C29*$B$10/1000</f>
        <v>5.8928571428571428E-4</v>
      </c>
      <c r="E29" s="88">
        <f t="shared" ref="E29:E50" si="12">D29*$B$4/2000</f>
        <v>2.5810714285714287E-3</v>
      </c>
      <c r="F29" s="138" t="s">
        <v>65</v>
      </c>
      <c r="H29" s="23"/>
      <c r="I29" s="22" t="s">
        <v>73</v>
      </c>
      <c r="J29" s="22" t="s">
        <v>99</v>
      </c>
      <c r="K29" s="117">
        <v>5</v>
      </c>
      <c r="L29" s="24">
        <f t="shared" si="7"/>
        <v>3.3333333333333333E-2</v>
      </c>
      <c r="M29" s="25">
        <f t="shared" si="8"/>
        <v>0.83333333333333337</v>
      </c>
      <c r="N29" s="25">
        <f t="shared" si="9"/>
        <v>3.65</v>
      </c>
      <c r="O29" s="23" t="str">
        <f t="shared" si="10"/>
        <v/>
      </c>
    </row>
    <row r="30" spans="1:15" x14ac:dyDescent="0.2">
      <c r="A30" s="94" t="s">
        <v>20</v>
      </c>
      <c r="B30" s="114"/>
      <c r="C30" s="115">
        <f>IF($C$8="Distillate",K161,K160)</f>
        <v>6.0999999999999999E-2</v>
      </c>
      <c r="D30" s="89">
        <f t="shared" si="11"/>
        <v>1.0892857142857143E-2</v>
      </c>
      <c r="E30" s="89">
        <f t="shared" si="12"/>
        <v>4.7710714285714287E-2</v>
      </c>
      <c r="F30" s="130"/>
      <c r="H30" s="23"/>
      <c r="I30" s="22" t="s">
        <v>73</v>
      </c>
      <c r="J30" s="22" t="s">
        <v>100</v>
      </c>
      <c r="K30" s="117">
        <v>5</v>
      </c>
      <c r="L30" s="24">
        <f t="shared" si="7"/>
        <v>3.3333333333333333E-2</v>
      </c>
      <c r="M30" s="25">
        <f t="shared" si="8"/>
        <v>0.83333333333333337</v>
      </c>
      <c r="N30" s="25">
        <f t="shared" si="9"/>
        <v>3.65</v>
      </c>
      <c r="O30" s="23" t="str">
        <f t="shared" si="10"/>
        <v/>
      </c>
    </row>
    <row r="31" spans="1:15" x14ac:dyDescent="0.2">
      <c r="A31" s="16" t="s">
        <v>14</v>
      </c>
      <c r="B31" s="98"/>
      <c r="C31" s="99">
        <f>K165</f>
        <v>2.14E-4</v>
      </c>
      <c r="D31" s="90">
        <f t="shared" si="11"/>
        <v>3.8214285714285717E-5</v>
      </c>
      <c r="E31" s="90">
        <f t="shared" si="12"/>
        <v>1.6737857142857144E-4</v>
      </c>
      <c r="F31" s="130" t="s">
        <v>43</v>
      </c>
      <c r="H31" s="23"/>
      <c r="I31" s="22" t="s">
        <v>73</v>
      </c>
      <c r="J31" s="22" t="s">
        <v>101</v>
      </c>
      <c r="K31" s="117">
        <v>5</v>
      </c>
      <c r="L31" s="24">
        <f>$K31/$K$1</f>
        <v>3.5714285714285712E-2</v>
      </c>
      <c r="M31" s="25">
        <f t="shared" si="8"/>
        <v>0.89285714285714279</v>
      </c>
      <c r="N31" s="25">
        <f t="shared" si="9"/>
        <v>3.9107142857142851</v>
      </c>
      <c r="O31" s="23" t="str">
        <f t="shared" si="10"/>
        <v>Match</v>
      </c>
    </row>
    <row r="32" spans="1:15" x14ac:dyDescent="0.2">
      <c r="A32" s="17" t="s">
        <v>36</v>
      </c>
      <c r="B32" s="96"/>
      <c r="C32" s="97">
        <f t="shared" ref="C32:C50" si="13">K166</f>
        <v>6.3600000000000001E-5</v>
      </c>
      <c r="D32" s="89">
        <f t="shared" si="11"/>
        <v>1.1357142857142858E-5</v>
      </c>
      <c r="E32" s="89">
        <f t="shared" si="12"/>
        <v>4.9744285714285723E-5</v>
      </c>
      <c r="F32" s="130"/>
      <c r="H32" s="32"/>
      <c r="I32" s="33" t="s">
        <v>73</v>
      </c>
      <c r="J32" s="33" t="s">
        <v>102</v>
      </c>
      <c r="K32" s="118">
        <v>5</v>
      </c>
      <c r="L32" s="34">
        <f>$K32/$K$1</f>
        <v>3.5714285714285712E-2</v>
      </c>
      <c r="M32" s="35">
        <f t="shared" si="8"/>
        <v>0.89285714285714279</v>
      </c>
      <c r="N32" s="35">
        <f t="shared" si="9"/>
        <v>3.9107142857142851</v>
      </c>
      <c r="O32" s="32" t="str">
        <f t="shared" si="10"/>
        <v>Match</v>
      </c>
    </row>
    <row r="33" spans="1:16" x14ac:dyDescent="0.2">
      <c r="A33" s="16" t="s">
        <v>22</v>
      </c>
      <c r="B33" s="98"/>
      <c r="C33" s="99">
        <f>K167</f>
        <v>1.1299999999999999E-3</v>
      </c>
      <c r="D33" s="90">
        <f t="shared" si="11"/>
        <v>2.017857142857143E-4</v>
      </c>
      <c r="E33" s="90">
        <f t="shared" si="12"/>
        <v>8.8382142857142869E-4</v>
      </c>
      <c r="F33" s="130"/>
      <c r="H33" s="36"/>
      <c r="I33" s="37" t="s">
        <v>74</v>
      </c>
      <c r="J33" s="37" t="s">
        <v>92</v>
      </c>
      <c r="K33" s="119">
        <v>5</v>
      </c>
      <c r="L33" s="38">
        <f t="shared" si="7"/>
        <v>3.3333333333333333E-2</v>
      </c>
      <c r="M33" s="39">
        <f t="shared" si="8"/>
        <v>0.83333333333333337</v>
      </c>
      <c r="N33" s="39">
        <f t="shared" si="9"/>
        <v>3.65</v>
      </c>
      <c r="O33" s="36" t="str">
        <f t="shared" si="10"/>
        <v/>
      </c>
    </row>
    <row r="34" spans="1:16" x14ac:dyDescent="0.2">
      <c r="A34" s="17" t="s">
        <v>37</v>
      </c>
      <c r="B34" s="96"/>
      <c r="C34" s="97">
        <f t="shared" si="13"/>
        <v>2.3599999999999999E-4</v>
      </c>
      <c r="D34" s="89">
        <f t="shared" si="11"/>
        <v>4.2142857142857143E-5</v>
      </c>
      <c r="E34" s="89">
        <f t="shared" si="12"/>
        <v>1.8458571428571428E-4</v>
      </c>
      <c r="F34" s="130"/>
      <c r="H34" s="23"/>
      <c r="I34" s="22" t="s">
        <v>74</v>
      </c>
      <c r="J34" s="22" t="s">
        <v>97</v>
      </c>
      <c r="K34" s="117">
        <v>5</v>
      </c>
      <c r="L34" s="24">
        <f t="shared" si="7"/>
        <v>3.3333333333333333E-2</v>
      </c>
      <c r="M34" s="25">
        <f t="shared" si="8"/>
        <v>0.83333333333333337</v>
      </c>
      <c r="N34" s="25">
        <f t="shared" si="9"/>
        <v>3.65</v>
      </c>
      <c r="O34" s="23" t="str">
        <f t="shared" si="10"/>
        <v/>
      </c>
    </row>
    <row r="35" spans="1:16" x14ac:dyDescent="0.2">
      <c r="A35" s="16" t="s">
        <v>25</v>
      </c>
      <c r="B35" s="98"/>
      <c r="C35" s="99">
        <f t="shared" si="13"/>
        <v>6.1999999999999998E-3</v>
      </c>
      <c r="D35" s="90">
        <f t="shared" si="11"/>
        <v>1.1071428571428571E-3</v>
      </c>
      <c r="E35" s="90">
        <f t="shared" si="12"/>
        <v>4.849285714285714E-3</v>
      </c>
      <c r="F35" s="130"/>
      <c r="H35" s="23"/>
      <c r="I35" s="22" t="s">
        <v>74</v>
      </c>
      <c r="J35" s="22" t="s">
        <v>99</v>
      </c>
      <c r="K35" s="117">
        <v>5</v>
      </c>
      <c r="L35" s="24">
        <f t="shared" si="7"/>
        <v>3.3333333333333333E-2</v>
      </c>
      <c r="M35" s="25">
        <f t="shared" si="8"/>
        <v>0.83333333333333337</v>
      </c>
      <c r="N35" s="25">
        <f t="shared" si="9"/>
        <v>3.65</v>
      </c>
      <c r="O35" s="23" t="str">
        <f t="shared" si="10"/>
        <v/>
      </c>
    </row>
    <row r="36" spans="1:16" x14ac:dyDescent="0.2">
      <c r="A36" s="17" t="s">
        <v>38</v>
      </c>
      <c r="B36" s="96"/>
      <c r="C36" s="97">
        <f t="shared" si="13"/>
        <v>1.0900000000000001E-4</v>
      </c>
      <c r="D36" s="89">
        <f t="shared" si="11"/>
        <v>1.9464285714285715E-5</v>
      </c>
      <c r="E36" s="89">
        <f t="shared" si="12"/>
        <v>8.5253571428571431E-5</v>
      </c>
      <c r="F36" s="130"/>
      <c r="H36" s="23"/>
      <c r="I36" s="22" t="s">
        <v>74</v>
      </c>
      <c r="J36" s="22" t="s">
        <v>103</v>
      </c>
      <c r="K36" s="117">
        <v>5</v>
      </c>
      <c r="L36" s="24">
        <f>$K36/$K$1</f>
        <v>3.5714285714285712E-2</v>
      </c>
      <c r="M36" s="25">
        <f t="shared" si="8"/>
        <v>0.89285714285714279</v>
      </c>
      <c r="N36" s="25">
        <f t="shared" si="9"/>
        <v>3.9107142857142851</v>
      </c>
      <c r="O36" s="23" t="str">
        <f t="shared" si="10"/>
        <v>Match</v>
      </c>
    </row>
    <row r="37" spans="1:16" x14ac:dyDescent="0.2">
      <c r="A37" s="16" t="s">
        <v>10</v>
      </c>
      <c r="B37" s="98"/>
      <c r="C37" s="99">
        <f t="shared" si="13"/>
        <v>2.1100000000000001E-5</v>
      </c>
      <c r="D37" s="90">
        <f t="shared" si="11"/>
        <v>3.7678571428571437E-6</v>
      </c>
      <c r="E37" s="90">
        <f t="shared" si="12"/>
        <v>1.6503214285714289E-5</v>
      </c>
      <c r="F37" s="130"/>
      <c r="H37" s="23"/>
      <c r="I37" s="22" t="s">
        <v>74</v>
      </c>
      <c r="J37" s="22" t="s">
        <v>104</v>
      </c>
      <c r="K37" s="117">
        <v>5</v>
      </c>
      <c r="L37" s="24">
        <f>$K37/$K$1</f>
        <v>3.5714285714285712E-2</v>
      </c>
      <c r="M37" s="25">
        <f t="shared" si="8"/>
        <v>0.89285714285714279</v>
      </c>
      <c r="N37" s="25">
        <f t="shared" si="9"/>
        <v>3.9107142857142851</v>
      </c>
      <c r="O37" s="23" t="str">
        <f t="shared" si="10"/>
        <v>Match</v>
      </c>
    </row>
    <row r="38" spans="1:16" x14ac:dyDescent="0.2">
      <c r="A38" s="17" t="s">
        <v>11</v>
      </c>
      <c r="B38" s="96"/>
      <c r="C38" s="97">
        <f t="shared" si="13"/>
        <v>2.53E-7</v>
      </c>
      <c r="D38" s="89">
        <f t="shared" si="11"/>
        <v>4.517857142857143E-8</v>
      </c>
      <c r="E38" s="89">
        <f t="shared" si="12"/>
        <v>1.9788214285714285E-7</v>
      </c>
      <c r="F38" s="130"/>
      <c r="H38" s="23"/>
      <c r="I38" s="23"/>
      <c r="J38" s="23"/>
      <c r="K38" s="23"/>
      <c r="L38" s="23"/>
      <c r="M38" s="23"/>
      <c r="N38" s="23"/>
      <c r="O38" s="23"/>
    </row>
    <row r="39" spans="1:16" x14ac:dyDescent="0.2">
      <c r="A39" s="16" t="s">
        <v>12</v>
      </c>
      <c r="B39" s="98"/>
      <c r="C39" s="99">
        <f t="shared" si="13"/>
        <v>1.22E-6</v>
      </c>
      <c r="D39" s="90">
        <f t="shared" si="11"/>
        <v>2.1785714285714287E-7</v>
      </c>
      <c r="E39" s="90">
        <f t="shared" si="12"/>
        <v>9.5421428571428568E-7</v>
      </c>
      <c r="F39" s="130"/>
      <c r="H39" s="23"/>
      <c r="I39" s="23"/>
      <c r="J39" s="23"/>
      <c r="K39" s="40" t="s">
        <v>105</v>
      </c>
      <c r="L39" s="40" t="s">
        <v>106</v>
      </c>
      <c r="M39" s="23"/>
      <c r="N39" s="23"/>
      <c r="O39" s="23"/>
    </row>
    <row r="40" spans="1:16" ht="13.5" thickBot="1" x14ac:dyDescent="0.25">
      <c r="A40" s="17" t="s">
        <v>13</v>
      </c>
      <c r="B40" s="96"/>
      <c r="C40" s="97">
        <f t="shared" si="13"/>
        <v>4.0099999999999997E-6</v>
      </c>
      <c r="D40" s="89">
        <f t="shared" si="11"/>
        <v>7.1607142857142857E-7</v>
      </c>
      <c r="E40" s="89">
        <f t="shared" si="12"/>
        <v>3.1363928571428572E-6</v>
      </c>
      <c r="F40" s="130"/>
      <c r="H40" s="31" t="s">
        <v>81</v>
      </c>
      <c r="I40" s="31" t="s">
        <v>72</v>
      </c>
      <c r="J40" s="30" t="s">
        <v>107</v>
      </c>
      <c r="K40" s="41" t="s">
        <v>96</v>
      </c>
      <c r="L40" s="41" t="s">
        <v>96</v>
      </c>
      <c r="M40" s="31" t="s">
        <v>75</v>
      </c>
      <c r="N40" s="31" t="s">
        <v>76</v>
      </c>
      <c r="O40" s="31" t="s">
        <v>77</v>
      </c>
      <c r="P40" s="30" t="s">
        <v>87</v>
      </c>
    </row>
    <row r="41" spans="1:16" x14ac:dyDescent="0.2">
      <c r="A41" s="16" t="s">
        <v>39</v>
      </c>
      <c r="B41" s="98"/>
      <c r="C41" s="99">
        <f t="shared" si="13"/>
        <v>1.48E-6</v>
      </c>
      <c r="D41" s="90">
        <f t="shared" si="11"/>
        <v>2.6428571428571428E-7</v>
      </c>
      <c r="E41" s="90">
        <f t="shared" si="12"/>
        <v>1.1575714285714286E-6</v>
      </c>
      <c r="F41" s="130"/>
      <c r="H41" s="23"/>
      <c r="I41" s="22" t="s">
        <v>73</v>
      </c>
      <c r="J41" s="22" t="s">
        <v>92</v>
      </c>
      <c r="K41" s="117">
        <v>157</v>
      </c>
      <c r="L41" s="1">
        <f t="shared" ref="L41:L55" si="14">K41*$B$9</f>
        <v>0.23550000000000001</v>
      </c>
      <c r="M41" s="24">
        <f>$L41/$K$2</f>
        <v>1.57E-3</v>
      </c>
      <c r="N41" s="25">
        <f t="shared" ref="N41:N55" si="15">$M41*$B$3</f>
        <v>3.925E-2</v>
      </c>
      <c r="O41" s="25">
        <f t="shared" ref="O41:O55" si="16">$N41*$B$4/2000</f>
        <v>0.17191499999999998</v>
      </c>
      <c r="P41" s="23" t="str">
        <f t="shared" ref="P41:P55" si="17">IF($E$17=O41,"Match","")</f>
        <v/>
      </c>
    </row>
    <row r="42" spans="1:16" x14ac:dyDescent="0.2">
      <c r="A42" s="17" t="s">
        <v>15</v>
      </c>
      <c r="B42" s="96"/>
      <c r="C42" s="97">
        <f t="shared" si="13"/>
        <v>2.26E-6</v>
      </c>
      <c r="D42" s="89">
        <f t="shared" si="11"/>
        <v>4.0357142857142859E-7</v>
      </c>
      <c r="E42" s="89">
        <f t="shared" si="12"/>
        <v>1.7676428571428571E-6</v>
      </c>
      <c r="F42" s="130"/>
      <c r="H42" s="23"/>
      <c r="I42" s="22" t="s">
        <v>73</v>
      </c>
      <c r="J42" s="22" t="s">
        <v>93</v>
      </c>
      <c r="K42" s="117">
        <v>157</v>
      </c>
      <c r="L42" s="1">
        <f t="shared" si="14"/>
        <v>0.23550000000000001</v>
      </c>
      <c r="M42" s="24">
        <f t="shared" ref="M42:M53" si="18">$L42/$K$2</f>
        <v>1.57E-3</v>
      </c>
      <c r="N42" s="25">
        <f t="shared" si="15"/>
        <v>3.925E-2</v>
      </c>
      <c r="O42" s="25">
        <f t="shared" si="16"/>
        <v>0.17191499999999998</v>
      </c>
      <c r="P42" s="23" t="str">
        <f t="shared" si="17"/>
        <v/>
      </c>
    </row>
    <row r="43" spans="1:16" x14ac:dyDescent="0.2">
      <c r="A43" s="16" t="s">
        <v>16</v>
      </c>
      <c r="B43" s="98"/>
      <c r="C43" s="99">
        <f t="shared" si="13"/>
        <v>2.3800000000000001E-6</v>
      </c>
      <c r="D43" s="90">
        <f t="shared" si="11"/>
        <v>4.2500000000000001E-7</v>
      </c>
      <c r="E43" s="90">
        <f t="shared" si="12"/>
        <v>1.8615000000000001E-6</v>
      </c>
      <c r="F43" s="130"/>
      <c r="H43" s="23"/>
      <c r="I43" s="22" t="s">
        <v>73</v>
      </c>
      <c r="J43" s="22" t="s">
        <v>94</v>
      </c>
      <c r="K43" s="117">
        <v>157</v>
      </c>
      <c r="L43" s="1">
        <f t="shared" si="14"/>
        <v>0.23550000000000001</v>
      </c>
      <c r="M43" s="24">
        <f t="shared" si="18"/>
        <v>1.57E-3</v>
      </c>
      <c r="N43" s="25">
        <f t="shared" si="15"/>
        <v>3.925E-2</v>
      </c>
      <c r="O43" s="25">
        <f t="shared" si="16"/>
        <v>0.17191499999999998</v>
      </c>
      <c r="P43" s="23" t="str">
        <f t="shared" si="17"/>
        <v/>
      </c>
    </row>
    <row r="44" spans="1:16" x14ac:dyDescent="0.2">
      <c r="A44" s="17" t="s">
        <v>17</v>
      </c>
      <c r="B44" s="96"/>
      <c r="C44" s="97">
        <f t="shared" si="13"/>
        <v>1.6700000000000001E-6</v>
      </c>
      <c r="D44" s="89">
        <f t="shared" si="11"/>
        <v>2.9821428571428579E-7</v>
      </c>
      <c r="E44" s="89">
        <f t="shared" si="12"/>
        <v>1.3061785714285717E-6</v>
      </c>
      <c r="F44" s="130"/>
      <c r="H44" s="23"/>
      <c r="I44" s="22" t="s">
        <v>73</v>
      </c>
      <c r="J44" s="22" t="s">
        <v>95</v>
      </c>
      <c r="K44" s="117">
        <v>157</v>
      </c>
      <c r="L44" s="1">
        <f t="shared" si="14"/>
        <v>0.23550000000000001</v>
      </c>
      <c r="M44" s="24">
        <f t="shared" si="18"/>
        <v>1.57E-3</v>
      </c>
      <c r="N44" s="25">
        <f t="shared" si="15"/>
        <v>3.925E-2</v>
      </c>
      <c r="O44" s="25">
        <f t="shared" si="16"/>
        <v>0.17191499999999998</v>
      </c>
      <c r="P44" s="23" t="str">
        <f t="shared" si="17"/>
        <v/>
      </c>
    </row>
    <row r="45" spans="1:16" x14ac:dyDescent="0.2">
      <c r="A45" s="16" t="s">
        <v>18</v>
      </c>
      <c r="B45" s="98"/>
      <c r="C45" s="99">
        <f t="shared" si="13"/>
        <v>4.8400000000000002E-6</v>
      </c>
      <c r="D45" s="90">
        <f t="shared" si="11"/>
        <v>8.6428571428571436E-7</v>
      </c>
      <c r="E45" s="90">
        <f t="shared" si="12"/>
        <v>3.7855714285714291E-6</v>
      </c>
      <c r="F45" s="130"/>
      <c r="H45" s="23"/>
      <c r="I45" s="22" t="s">
        <v>73</v>
      </c>
      <c r="J45" s="22" t="s">
        <v>97</v>
      </c>
      <c r="K45" s="117">
        <v>157</v>
      </c>
      <c r="L45" s="1">
        <f t="shared" si="14"/>
        <v>0.23550000000000001</v>
      </c>
      <c r="M45" s="24">
        <f t="shared" si="18"/>
        <v>1.57E-3</v>
      </c>
      <c r="N45" s="25">
        <f t="shared" si="15"/>
        <v>3.925E-2</v>
      </c>
      <c r="O45" s="25">
        <f t="shared" si="16"/>
        <v>0.17191499999999998</v>
      </c>
      <c r="P45" s="23" t="str">
        <f t="shared" si="17"/>
        <v/>
      </c>
    </row>
    <row r="46" spans="1:16" x14ac:dyDescent="0.2">
      <c r="A46" s="17" t="s">
        <v>19</v>
      </c>
      <c r="B46" s="96"/>
      <c r="C46" s="97">
        <f t="shared" si="13"/>
        <v>4.4700000000000004E-6</v>
      </c>
      <c r="D46" s="89">
        <f t="shared" si="11"/>
        <v>7.9821428571428592E-7</v>
      </c>
      <c r="E46" s="89">
        <f t="shared" si="12"/>
        <v>3.4961785714285724E-6</v>
      </c>
      <c r="F46" s="130"/>
      <c r="H46" s="23"/>
      <c r="I46" s="22" t="s">
        <v>73</v>
      </c>
      <c r="J46" s="22" t="s">
        <v>98</v>
      </c>
      <c r="K46" s="117">
        <v>157</v>
      </c>
      <c r="L46" s="1">
        <f t="shared" si="14"/>
        <v>0.23550000000000001</v>
      </c>
      <c r="M46" s="24">
        <f t="shared" si="18"/>
        <v>1.57E-3</v>
      </c>
      <c r="N46" s="25">
        <f t="shared" si="15"/>
        <v>3.925E-2</v>
      </c>
      <c r="O46" s="25">
        <f t="shared" si="16"/>
        <v>0.17191499999999998</v>
      </c>
      <c r="P46" s="23" t="str">
        <f t="shared" si="17"/>
        <v/>
      </c>
    </row>
    <row r="47" spans="1:16" x14ac:dyDescent="0.2">
      <c r="A47" s="16" t="s">
        <v>21</v>
      </c>
      <c r="B47" s="98"/>
      <c r="C47" s="99">
        <f t="shared" si="13"/>
        <v>2.1399999999999998E-6</v>
      </c>
      <c r="D47" s="90">
        <f t="shared" si="11"/>
        <v>3.8214285714285713E-7</v>
      </c>
      <c r="E47" s="90">
        <f t="shared" si="12"/>
        <v>1.6737857142857142E-6</v>
      </c>
      <c r="F47" s="130"/>
      <c r="H47" s="23"/>
      <c r="I47" s="22" t="s">
        <v>73</v>
      </c>
      <c r="J47" s="22" t="s">
        <v>99</v>
      </c>
      <c r="K47" s="117">
        <v>150</v>
      </c>
      <c r="L47" s="1">
        <f t="shared" si="14"/>
        <v>0.22500000000000001</v>
      </c>
      <c r="M47" s="24">
        <f t="shared" si="18"/>
        <v>1.5E-3</v>
      </c>
      <c r="N47" s="25">
        <f t="shared" si="15"/>
        <v>3.7499999999999999E-2</v>
      </c>
      <c r="O47" s="25">
        <f t="shared" si="16"/>
        <v>0.16425000000000001</v>
      </c>
      <c r="P47" s="23" t="str">
        <f t="shared" si="17"/>
        <v/>
      </c>
    </row>
    <row r="48" spans="1:16" x14ac:dyDescent="0.2">
      <c r="A48" s="17" t="s">
        <v>23</v>
      </c>
      <c r="B48" s="96"/>
      <c r="C48" s="97">
        <f t="shared" si="13"/>
        <v>1.0499999999999999E-5</v>
      </c>
      <c r="D48" s="89">
        <f t="shared" si="11"/>
        <v>1.8749999999999998E-6</v>
      </c>
      <c r="E48" s="89">
        <f t="shared" si="12"/>
        <v>8.2124999999999997E-6</v>
      </c>
      <c r="F48" s="130"/>
      <c r="H48" s="23"/>
      <c r="I48" s="22" t="s">
        <v>73</v>
      </c>
      <c r="J48" s="22" t="s">
        <v>100</v>
      </c>
      <c r="K48" s="117">
        <v>150</v>
      </c>
      <c r="L48" s="1">
        <f t="shared" si="14"/>
        <v>0.22500000000000001</v>
      </c>
      <c r="M48" s="24">
        <f t="shared" si="18"/>
        <v>1.5E-3</v>
      </c>
      <c r="N48" s="25">
        <f t="shared" si="15"/>
        <v>3.7499999999999999E-2</v>
      </c>
      <c r="O48" s="25">
        <f t="shared" si="16"/>
        <v>0.16425000000000001</v>
      </c>
      <c r="P48" s="23" t="str">
        <f t="shared" si="17"/>
        <v/>
      </c>
    </row>
    <row r="49" spans="1:18" x14ac:dyDescent="0.2">
      <c r="A49" s="16" t="s">
        <v>24</v>
      </c>
      <c r="B49" s="98"/>
      <c r="C49" s="99">
        <f t="shared" si="13"/>
        <v>4.25E-6</v>
      </c>
      <c r="D49" s="90">
        <f t="shared" si="11"/>
        <v>7.5892857142857139E-7</v>
      </c>
      <c r="E49" s="90">
        <f t="shared" si="12"/>
        <v>3.3241071428571426E-6</v>
      </c>
      <c r="F49" s="130"/>
      <c r="H49" s="23"/>
      <c r="I49" s="22" t="s">
        <v>73</v>
      </c>
      <c r="J49" s="22" t="s">
        <v>101</v>
      </c>
      <c r="K49" s="117">
        <v>142</v>
      </c>
      <c r="L49" s="1">
        <f t="shared" si="14"/>
        <v>0.21299999999999999</v>
      </c>
      <c r="M49" s="24">
        <f>$L49/$K$1</f>
        <v>1.5214285714285714E-3</v>
      </c>
      <c r="N49" s="25">
        <f t="shared" si="15"/>
        <v>3.8035714285714284E-2</v>
      </c>
      <c r="O49" s="25">
        <f t="shared" si="16"/>
        <v>0.16659642857142856</v>
      </c>
      <c r="P49" s="23" t="str">
        <f t="shared" si="17"/>
        <v>Match</v>
      </c>
    </row>
    <row r="50" spans="1:18" x14ac:dyDescent="0.2">
      <c r="A50" s="17" t="s">
        <v>40</v>
      </c>
      <c r="B50" s="96"/>
      <c r="C50" s="97">
        <f t="shared" si="13"/>
        <v>3.1E-9</v>
      </c>
      <c r="D50" s="89">
        <f>$C50*$B$10/1000</f>
        <v>5.5357142857142862E-10</v>
      </c>
      <c r="E50" s="89">
        <f t="shared" si="12"/>
        <v>2.4246428571428577E-9</v>
      </c>
      <c r="F50" s="130"/>
      <c r="H50" s="32"/>
      <c r="I50" s="33" t="s">
        <v>73</v>
      </c>
      <c r="J50" s="33" t="s">
        <v>102</v>
      </c>
      <c r="K50" s="118">
        <v>142</v>
      </c>
      <c r="L50" s="42">
        <f t="shared" si="14"/>
        <v>0.21299999999999999</v>
      </c>
      <c r="M50" s="34">
        <f>$L50/$K$1</f>
        <v>1.5214285714285714E-3</v>
      </c>
      <c r="N50" s="35">
        <f t="shared" si="15"/>
        <v>3.8035714285714284E-2</v>
      </c>
      <c r="O50" s="35">
        <f t="shared" si="16"/>
        <v>0.16659642857142856</v>
      </c>
      <c r="P50" s="32" t="str">
        <f t="shared" si="17"/>
        <v>Match</v>
      </c>
    </row>
    <row r="51" spans="1:18" x14ac:dyDescent="0.2">
      <c r="A51" s="16" t="str">
        <f>IF(C51="","","Antimony")</f>
        <v/>
      </c>
      <c r="B51" s="98"/>
      <c r="C51" s="99" t="str">
        <f>IF($C$8="Distillate","",K200)</f>
        <v/>
      </c>
      <c r="D51" s="90" t="str">
        <f>IFERROR($C51*$B$10/1000,"")</f>
        <v/>
      </c>
      <c r="E51" s="90" t="str">
        <f>IFERROR(D51*$B$4/2000,"")</f>
        <v/>
      </c>
      <c r="F51" s="143" t="s">
        <v>154</v>
      </c>
      <c r="H51" s="36"/>
      <c r="I51" s="37" t="s">
        <v>74</v>
      </c>
      <c r="J51" s="37" t="s">
        <v>92</v>
      </c>
      <c r="K51" s="119">
        <v>157</v>
      </c>
      <c r="L51" s="43">
        <f t="shared" si="14"/>
        <v>0.23550000000000001</v>
      </c>
      <c r="M51" s="38">
        <f t="shared" si="18"/>
        <v>1.57E-3</v>
      </c>
      <c r="N51" s="39">
        <f t="shared" si="15"/>
        <v>3.925E-2</v>
      </c>
      <c r="O51" s="39">
        <f t="shared" si="16"/>
        <v>0.17191499999999998</v>
      </c>
      <c r="P51" s="36" t="str">
        <f t="shared" si="17"/>
        <v/>
      </c>
    </row>
    <row r="52" spans="1:18" x14ac:dyDescent="0.2">
      <c r="A52" s="17" t="s">
        <v>26</v>
      </c>
      <c r="B52" s="96"/>
      <c r="C52" s="97">
        <f>IF($C$8="Distillate",L188,K201)</f>
        <v>5.5999999999999995E-4</v>
      </c>
      <c r="D52" s="89">
        <f t="shared" ref="D52:D61" si="19">IFERROR($C52*$B$10/1000,"")</f>
        <v>9.9999999999999991E-5</v>
      </c>
      <c r="E52" s="89">
        <f t="shared" ref="E52:E61" si="20">IFERROR(D52*$B$4/2000,"")</f>
        <v>4.3799999999999997E-4</v>
      </c>
      <c r="F52" s="144"/>
      <c r="H52" s="23"/>
      <c r="I52" s="22" t="s">
        <v>74</v>
      </c>
      <c r="J52" s="22" t="s">
        <v>97</v>
      </c>
      <c r="K52" s="117">
        <v>157</v>
      </c>
      <c r="L52" s="1">
        <f t="shared" si="14"/>
        <v>0.23550000000000001</v>
      </c>
      <c r="M52" s="24">
        <f t="shared" si="18"/>
        <v>1.57E-3</v>
      </c>
      <c r="N52" s="25">
        <f t="shared" si="15"/>
        <v>3.925E-2</v>
      </c>
      <c r="O52" s="25">
        <f t="shared" si="16"/>
        <v>0.17191499999999998</v>
      </c>
      <c r="P52" s="23" t="str">
        <f t="shared" si="17"/>
        <v/>
      </c>
    </row>
    <row r="53" spans="1:18" x14ac:dyDescent="0.2">
      <c r="A53" s="16" t="s">
        <v>27</v>
      </c>
      <c r="B53" s="98"/>
      <c r="C53" s="99">
        <f>IF($C$8="Distillate",L189,K202)</f>
        <v>4.2000000000000002E-4</v>
      </c>
      <c r="D53" s="90">
        <f t="shared" si="19"/>
        <v>7.5000000000000007E-5</v>
      </c>
      <c r="E53" s="90">
        <f t="shared" si="20"/>
        <v>3.2850000000000002E-4</v>
      </c>
      <c r="F53" s="144"/>
      <c r="H53" s="23"/>
      <c r="I53" s="22" t="s">
        <v>74</v>
      </c>
      <c r="J53" s="22" t="s">
        <v>99</v>
      </c>
      <c r="K53" s="117">
        <v>150</v>
      </c>
      <c r="L53" s="1">
        <f t="shared" si="14"/>
        <v>0.22500000000000001</v>
      </c>
      <c r="M53" s="24">
        <f t="shared" si="18"/>
        <v>1.5E-3</v>
      </c>
      <c r="N53" s="25">
        <f t="shared" si="15"/>
        <v>3.7499999999999999E-2</v>
      </c>
      <c r="O53" s="25">
        <f t="shared" si="16"/>
        <v>0.16425000000000001</v>
      </c>
      <c r="P53" s="23" t="str">
        <f t="shared" si="17"/>
        <v/>
      </c>
    </row>
    <row r="54" spans="1:18" x14ac:dyDescent="0.2">
      <c r="A54" s="17" t="s">
        <v>28</v>
      </c>
      <c r="B54" s="96"/>
      <c r="C54" s="97">
        <f>IF($C$8="Distillate",L190,K203)</f>
        <v>4.2000000000000002E-4</v>
      </c>
      <c r="D54" s="89">
        <f t="shared" si="19"/>
        <v>7.5000000000000007E-5</v>
      </c>
      <c r="E54" s="89">
        <f t="shared" si="20"/>
        <v>3.2850000000000002E-4</v>
      </c>
      <c r="F54" s="144"/>
      <c r="H54" s="23"/>
      <c r="I54" s="22" t="s">
        <v>74</v>
      </c>
      <c r="J54" s="22" t="s">
        <v>103</v>
      </c>
      <c r="K54" s="117">
        <v>142</v>
      </c>
      <c r="L54" s="1">
        <f t="shared" si="14"/>
        <v>0.21299999999999999</v>
      </c>
      <c r="M54" s="24">
        <f>$L54/$K$1</f>
        <v>1.5214285714285714E-3</v>
      </c>
      <c r="N54" s="25">
        <f t="shared" si="15"/>
        <v>3.8035714285714284E-2</v>
      </c>
      <c r="O54" s="25">
        <f t="shared" si="16"/>
        <v>0.16659642857142856</v>
      </c>
      <c r="P54" s="23" t="str">
        <f t="shared" si="17"/>
        <v>Match</v>
      </c>
    </row>
    <row r="55" spans="1:18" x14ac:dyDescent="0.2">
      <c r="A55" s="16" t="s">
        <v>29</v>
      </c>
      <c r="B55" s="98"/>
      <c r="C55" s="99">
        <f>IF($C$8="Distillate",L191,K204)</f>
        <v>4.2000000000000002E-4</v>
      </c>
      <c r="D55" s="90">
        <f t="shared" si="19"/>
        <v>7.5000000000000007E-5</v>
      </c>
      <c r="E55" s="90">
        <f t="shared" si="20"/>
        <v>3.2850000000000002E-4</v>
      </c>
      <c r="F55" s="144"/>
      <c r="H55" s="23"/>
      <c r="I55" s="22" t="s">
        <v>74</v>
      </c>
      <c r="J55" s="22" t="s">
        <v>104</v>
      </c>
      <c r="K55" s="117">
        <v>142</v>
      </c>
      <c r="L55" s="1">
        <f t="shared" si="14"/>
        <v>0.21299999999999999</v>
      </c>
      <c r="M55" s="24">
        <f>$L55/$K$1</f>
        <v>1.5214285714285714E-3</v>
      </c>
      <c r="N55" s="25">
        <f t="shared" si="15"/>
        <v>3.8035714285714284E-2</v>
      </c>
      <c r="O55" s="25">
        <f t="shared" si="16"/>
        <v>0.16659642857142856</v>
      </c>
      <c r="P55" s="23" t="str">
        <f t="shared" si="17"/>
        <v>Match</v>
      </c>
    </row>
    <row r="56" spans="1:18" x14ac:dyDescent="0.2">
      <c r="A56" s="17" t="str">
        <f>IF(C51="","","Chromium VI")</f>
        <v/>
      </c>
      <c r="B56" s="96"/>
      <c r="C56" s="97" t="str">
        <f>IF($C$8="Distillate","",K205)</f>
        <v/>
      </c>
      <c r="D56" s="89" t="str">
        <f t="shared" si="19"/>
        <v/>
      </c>
      <c r="E56" s="89" t="str">
        <f t="shared" si="20"/>
        <v/>
      </c>
      <c r="F56" s="144"/>
      <c r="H56" s="23"/>
      <c r="I56" s="22"/>
      <c r="J56" s="22"/>
      <c r="K56" s="23"/>
      <c r="L56" s="24"/>
      <c r="M56" s="25"/>
      <c r="N56" s="25"/>
      <c r="O56" s="23"/>
    </row>
    <row r="57" spans="1:18" ht="13.5" thickBot="1" x14ac:dyDescent="0.25">
      <c r="A57" s="16" t="str">
        <f>IF(C51="","","Cobalt")</f>
        <v/>
      </c>
      <c r="B57" s="98"/>
      <c r="C57" s="99" t="str">
        <f>IF($C$8="Distillate","",K206)</f>
        <v/>
      </c>
      <c r="D57" s="90" t="str">
        <f t="shared" si="19"/>
        <v/>
      </c>
      <c r="E57" s="90" t="str">
        <f t="shared" si="20"/>
        <v/>
      </c>
      <c r="F57" s="144"/>
      <c r="H57" s="31" t="s">
        <v>80</v>
      </c>
      <c r="I57" s="31" t="s">
        <v>72</v>
      </c>
      <c r="J57" s="31" t="s">
        <v>108</v>
      </c>
      <c r="K57" s="30" t="s">
        <v>96</v>
      </c>
      <c r="L57" s="31" t="s">
        <v>75</v>
      </c>
      <c r="M57" s="31" t="s">
        <v>76</v>
      </c>
      <c r="N57" s="31" t="s">
        <v>77</v>
      </c>
      <c r="O57" s="30"/>
    </row>
    <row r="58" spans="1:18" x14ac:dyDescent="0.2">
      <c r="A58" s="17" t="s">
        <v>31</v>
      </c>
      <c r="B58" s="96"/>
      <c r="C58" s="97">
        <f>IF($C$8="Distillate",L194,K208)</f>
        <v>8.4000000000000003E-4</v>
      </c>
      <c r="D58" s="89">
        <f t="shared" si="19"/>
        <v>1.5000000000000001E-4</v>
      </c>
      <c r="E58" s="89">
        <f t="shared" si="20"/>
        <v>6.5700000000000003E-4</v>
      </c>
      <c r="F58" s="144"/>
      <c r="H58" s="23"/>
      <c r="I58" s="22"/>
      <c r="J58" s="22" t="s">
        <v>109</v>
      </c>
      <c r="K58" s="117">
        <v>1.3</v>
      </c>
      <c r="L58" s="24">
        <f>$K58/$K$1</f>
        <v>9.285714285714286E-3</v>
      </c>
      <c r="M58" s="25">
        <f t="shared" ref="M58:M59" si="21">$L58*$B$3</f>
        <v>0.23214285714285715</v>
      </c>
      <c r="N58" s="25">
        <f>$M58*$B$4/2000</f>
        <v>1.0167857142857144</v>
      </c>
      <c r="O58" s="23"/>
    </row>
    <row r="59" spans="1:18" x14ac:dyDescent="0.2">
      <c r="A59" s="16" t="s">
        <v>32</v>
      </c>
      <c r="B59" s="98"/>
      <c r="C59" s="99">
        <f>IF($C$8="Distillate",L193,K209)</f>
        <v>4.2000000000000002E-4</v>
      </c>
      <c r="D59" s="90">
        <f t="shared" si="19"/>
        <v>7.5000000000000007E-5</v>
      </c>
      <c r="E59" s="90">
        <f t="shared" si="20"/>
        <v>3.2850000000000002E-4</v>
      </c>
      <c r="F59" s="144"/>
      <c r="H59" s="23"/>
      <c r="I59" s="22"/>
      <c r="J59" s="22" t="s">
        <v>110</v>
      </c>
      <c r="K59" s="117">
        <v>1.5</v>
      </c>
      <c r="L59" s="24">
        <f>$K59/$K$2</f>
        <v>0.01</v>
      </c>
      <c r="M59" s="25">
        <f t="shared" si="21"/>
        <v>0.25</v>
      </c>
      <c r="N59" s="25">
        <f>$M59*$B$4/2000</f>
        <v>1.095</v>
      </c>
      <c r="O59" s="23"/>
    </row>
    <row r="60" spans="1:18" x14ac:dyDescent="0.2">
      <c r="A60" s="17" t="s">
        <v>33</v>
      </c>
      <c r="B60" s="96"/>
      <c r="C60" s="97">
        <f>IF($C$8="Distillate",L195,K210)</f>
        <v>4.2000000000000002E-4</v>
      </c>
      <c r="D60" s="89">
        <f t="shared" si="19"/>
        <v>7.5000000000000007E-5</v>
      </c>
      <c r="E60" s="89">
        <f t="shared" si="20"/>
        <v>3.2850000000000002E-4</v>
      </c>
      <c r="F60" s="144"/>
    </row>
    <row r="61" spans="1:18" ht="13.5" thickBot="1" x14ac:dyDescent="0.25">
      <c r="A61" s="91" t="s">
        <v>34</v>
      </c>
      <c r="B61" s="100"/>
      <c r="C61" s="101">
        <f>IF($C$8="Distillate",L196,K211)</f>
        <v>2.0999999999999999E-3</v>
      </c>
      <c r="D61" s="92">
        <f t="shared" si="19"/>
        <v>3.7500000000000001E-4</v>
      </c>
      <c r="E61" s="92">
        <f t="shared" si="20"/>
        <v>1.6425000000000001E-3</v>
      </c>
      <c r="F61" s="145"/>
      <c r="K61" s="44" t="s">
        <v>117</v>
      </c>
      <c r="L61" s="40" t="s">
        <v>106</v>
      </c>
      <c r="N61" s="141" t="s">
        <v>118</v>
      </c>
      <c r="O61" s="142"/>
      <c r="P61" s="141" t="s">
        <v>119</v>
      </c>
      <c r="Q61" s="142"/>
    </row>
    <row r="62" spans="1:18" ht="13.5" thickBot="1" x14ac:dyDescent="0.25">
      <c r="H62" s="31" t="s">
        <v>121</v>
      </c>
      <c r="I62" s="31" t="s">
        <v>69</v>
      </c>
      <c r="J62" s="31" t="s">
        <v>112</v>
      </c>
      <c r="K62" s="41" t="s">
        <v>96</v>
      </c>
      <c r="L62" s="41" t="s">
        <v>96</v>
      </c>
      <c r="M62" s="31" t="s">
        <v>75</v>
      </c>
      <c r="N62" s="45" t="s">
        <v>76</v>
      </c>
      <c r="O62" s="46" t="s">
        <v>77</v>
      </c>
      <c r="P62" s="45" t="s">
        <v>76</v>
      </c>
      <c r="Q62" s="46" t="s">
        <v>77</v>
      </c>
      <c r="R62" s="30" t="s">
        <v>87</v>
      </c>
    </row>
    <row r="63" spans="1:18" x14ac:dyDescent="0.2">
      <c r="H63" s="23"/>
      <c r="I63" s="22" t="s">
        <v>70</v>
      </c>
      <c r="J63" s="22" t="s">
        <v>114</v>
      </c>
      <c r="K63" s="117">
        <v>5.9</v>
      </c>
      <c r="L63" s="23">
        <f>K63*(1.12*B9+0.37)</f>
        <v>2.1929120000000002</v>
      </c>
      <c r="M63" s="24">
        <f>$L63/$K$2</f>
        <v>1.4619413333333334E-2</v>
      </c>
      <c r="N63" s="47">
        <f>$M63*$B$3</f>
        <v>0.36548533333333338</v>
      </c>
      <c r="O63" s="48">
        <f>$N63*$B$4/2000</f>
        <v>1.6008257600000002</v>
      </c>
      <c r="P63" s="47">
        <f>N63+$M$59</f>
        <v>0.61548533333333344</v>
      </c>
      <c r="Q63" s="48">
        <f>O63+$N$59</f>
        <v>2.69582576</v>
      </c>
      <c r="R63" s="23" t="str">
        <f t="shared" ref="R63:R68" si="22">IF($E$15=Q63,"Match","")</f>
        <v/>
      </c>
    </row>
    <row r="64" spans="1:18" x14ac:dyDescent="0.2">
      <c r="H64" s="23"/>
      <c r="I64" s="22" t="s">
        <v>70</v>
      </c>
      <c r="J64" s="22" t="s">
        <v>115</v>
      </c>
      <c r="K64" s="117">
        <v>5.9</v>
      </c>
      <c r="L64" s="23">
        <f>K64*1.2</f>
        <v>7.08</v>
      </c>
      <c r="M64" s="24">
        <f>$L64/$K$2</f>
        <v>4.7199999999999999E-2</v>
      </c>
      <c r="N64" s="47">
        <f t="shared" ref="N64:N67" si="23">$M64*$B$3</f>
        <v>1.18</v>
      </c>
      <c r="O64" s="48">
        <f t="shared" ref="O64:O67" si="24">$N64*$B$4/2000</f>
        <v>5.1683999999999992</v>
      </c>
      <c r="P64" s="47">
        <f t="shared" ref="P64:P68" si="25">N64+$M$59</f>
        <v>1.43</v>
      </c>
      <c r="Q64" s="48">
        <f t="shared" ref="Q64:Q72" si="26">O64+$N$59</f>
        <v>6.263399999999999</v>
      </c>
      <c r="R64" s="23" t="str">
        <f t="shared" si="22"/>
        <v/>
      </c>
    </row>
    <row r="65" spans="8:18" x14ac:dyDescent="0.2">
      <c r="H65" s="32"/>
      <c r="I65" s="33" t="s">
        <v>70</v>
      </c>
      <c r="J65" s="33" t="s">
        <v>116</v>
      </c>
      <c r="K65" s="118">
        <v>5.9</v>
      </c>
      <c r="L65" s="32">
        <f>K65*0.84</f>
        <v>4.9560000000000004</v>
      </c>
      <c r="M65" s="34">
        <f>$L65/$K$2</f>
        <v>3.304E-2</v>
      </c>
      <c r="N65" s="49">
        <f>$M65*$B$3</f>
        <v>0.82599999999999996</v>
      </c>
      <c r="O65" s="50">
        <f>$N65*$B$4/2000</f>
        <v>3.6178799999999995</v>
      </c>
      <c r="P65" s="49">
        <f t="shared" si="25"/>
        <v>1.0760000000000001</v>
      </c>
      <c r="Q65" s="50">
        <f t="shared" si="26"/>
        <v>4.7128799999999993</v>
      </c>
      <c r="R65" s="32" t="str">
        <f t="shared" si="22"/>
        <v/>
      </c>
    </row>
    <row r="66" spans="8:18" x14ac:dyDescent="0.2">
      <c r="H66" s="36"/>
      <c r="I66" s="37" t="s">
        <v>111</v>
      </c>
      <c r="J66" s="37" t="s">
        <v>114</v>
      </c>
      <c r="K66" s="119">
        <v>7.17</v>
      </c>
      <c r="L66" s="36">
        <f>K66*(1.12*B13+0.37)</f>
        <v>2.6528999999999998</v>
      </c>
      <c r="M66" s="38">
        <f>$L66/$K$2</f>
        <v>1.7686E-2</v>
      </c>
      <c r="N66" s="51">
        <f>$M66*$B$3</f>
        <v>0.44214999999999999</v>
      </c>
      <c r="O66" s="52">
        <f>$N66*$B$4/2000</f>
        <v>1.936617</v>
      </c>
      <c r="P66" s="51">
        <f t="shared" si="25"/>
        <v>0.69215000000000004</v>
      </c>
      <c r="Q66" s="52">
        <f t="shared" si="26"/>
        <v>3.0316169999999998</v>
      </c>
      <c r="R66" s="36" t="str">
        <f t="shared" si="22"/>
        <v/>
      </c>
    </row>
    <row r="67" spans="8:18" x14ac:dyDescent="0.2">
      <c r="H67" s="23"/>
      <c r="I67" s="22" t="s">
        <v>111</v>
      </c>
      <c r="J67" s="22" t="s">
        <v>115</v>
      </c>
      <c r="K67" s="117">
        <v>7.17</v>
      </c>
      <c r="L67" s="23">
        <f>K67*1.2</f>
        <v>8.6039999999999992</v>
      </c>
      <c r="M67" s="24">
        <f t="shared" ref="M67" si="27">$L67/$K$2</f>
        <v>5.7359999999999994E-2</v>
      </c>
      <c r="N67" s="47">
        <f t="shared" si="23"/>
        <v>1.4339999999999999</v>
      </c>
      <c r="O67" s="48">
        <f t="shared" si="24"/>
        <v>6.2809200000000001</v>
      </c>
      <c r="P67" s="47">
        <f t="shared" si="25"/>
        <v>1.6839999999999999</v>
      </c>
      <c r="Q67" s="48">
        <f t="shared" si="26"/>
        <v>7.3759199999999998</v>
      </c>
      <c r="R67" s="23" t="str">
        <f t="shared" si="22"/>
        <v/>
      </c>
    </row>
    <row r="68" spans="8:18" x14ac:dyDescent="0.2">
      <c r="H68" s="23"/>
      <c r="I68" s="22" t="s">
        <v>111</v>
      </c>
      <c r="J68" s="22" t="s">
        <v>116</v>
      </c>
      <c r="K68" s="117">
        <v>7.17</v>
      </c>
      <c r="L68" s="23">
        <f>K68*0.84</f>
        <v>6.0228000000000002</v>
      </c>
      <c r="M68" s="24">
        <f>$L68/$K$2</f>
        <v>4.0152E-2</v>
      </c>
      <c r="N68" s="47">
        <f>$M68*$B$3</f>
        <v>1.0038</v>
      </c>
      <c r="O68" s="48">
        <f>$N68*$B$4/2000</f>
        <v>4.3966440000000002</v>
      </c>
      <c r="P68" s="47">
        <f t="shared" si="25"/>
        <v>1.2538</v>
      </c>
      <c r="Q68" s="48">
        <f t="shared" si="26"/>
        <v>5.491644</v>
      </c>
      <c r="R68" s="23" t="str">
        <f t="shared" si="22"/>
        <v/>
      </c>
    </row>
    <row r="69" spans="8:18" x14ac:dyDescent="0.2">
      <c r="H69" s="32"/>
      <c r="I69" s="33" t="s">
        <v>111</v>
      </c>
      <c r="J69" s="33" t="s">
        <v>113</v>
      </c>
      <c r="K69" s="32"/>
      <c r="L69" s="122">
        <v>1</v>
      </c>
      <c r="M69" s="34">
        <f>$L69/$K$1</f>
        <v>7.1428571428571426E-3</v>
      </c>
      <c r="N69" s="49">
        <f>$M69*$B$3</f>
        <v>0.17857142857142858</v>
      </c>
      <c r="O69" s="50">
        <f>$N69*$B$4/2000</f>
        <v>0.78214285714285714</v>
      </c>
      <c r="P69" s="49">
        <f>N69+$M$58</f>
        <v>0.4107142857142857</v>
      </c>
      <c r="Q69" s="50">
        <f>O69+$N$58</f>
        <v>1.7989285714285717</v>
      </c>
      <c r="R69" s="32"/>
    </row>
    <row r="70" spans="8:18" x14ac:dyDescent="0.2">
      <c r="H70" s="36"/>
      <c r="I70" s="37" t="s">
        <v>88</v>
      </c>
      <c r="J70" s="37" t="s">
        <v>114</v>
      </c>
      <c r="K70" s="119">
        <v>5.17</v>
      </c>
      <c r="L70" s="36">
        <f>K70*(1.12*B17+0.37)</f>
        <v>1.9129</v>
      </c>
      <c r="M70" s="38">
        <f>$L70/$K$2</f>
        <v>1.2752666666666667E-2</v>
      </c>
      <c r="N70" s="51">
        <f>$M70*$B$3</f>
        <v>0.31881666666666669</v>
      </c>
      <c r="O70" s="52">
        <f>$N70*$B$4/2000</f>
        <v>1.3964170000000002</v>
      </c>
      <c r="P70" s="51">
        <f t="shared" ref="P70:P72" si="28">N70+$M$59</f>
        <v>0.56881666666666675</v>
      </c>
      <c r="Q70" s="52">
        <f t="shared" si="26"/>
        <v>2.4914170000000002</v>
      </c>
      <c r="R70" s="36" t="str">
        <f>IF($E$15=Q70,"Match","")</f>
        <v/>
      </c>
    </row>
    <row r="71" spans="8:18" x14ac:dyDescent="0.2">
      <c r="H71" s="23"/>
      <c r="I71" s="22" t="s">
        <v>88</v>
      </c>
      <c r="J71" s="22" t="s">
        <v>115</v>
      </c>
      <c r="K71" s="117">
        <v>5.17</v>
      </c>
      <c r="L71" s="23">
        <f>K71*1.2</f>
        <v>6.2039999999999997</v>
      </c>
      <c r="M71" s="24">
        <f t="shared" ref="M71" si="29">$L71/$K$2</f>
        <v>4.1360000000000001E-2</v>
      </c>
      <c r="N71" s="47">
        <f t="shared" ref="N71" si="30">$M71*$B$3</f>
        <v>1.034</v>
      </c>
      <c r="O71" s="48">
        <f t="shared" ref="O71" si="31">$N71*$B$4/2000</f>
        <v>4.5289200000000003</v>
      </c>
      <c r="P71" s="47">
        <f t="shared" si="28"/>
        <v>1.284</v>
      </c>
      <c r="Q71" s="48">
        <f t="shared" si="26"/>
        <v>5.62392</v>
      </c>
      <c r="R71" s="23" t="str">
        <f>IF($E$15=Q71,"Match","")</f>
        <v/>
      </c>
    </row>
    <row r="72" spans="8:18" x14ac:dyDescent="0.2">
      <c r="H72" s="23"/>
      <c r="I72" s="22" t="s">
        <v>88</v>
      </c>
      <c r="J72" s="22" t="s">
        <v>116</v>
      </c>
      <c r="K72" s="117">
        <v>5.17</v>
      </c>
      <c r="L72" s="23">
        <f>K72*0.84</f>
        <v>4.3427999999999995</v>
      </c>
      <c r="M72" s="24">
        <f>$L72/$K$2</f>
        <v>2.8951999999999999E-2</v>
      </c>
      <c r="N72" s="47">
        <f>$M72*$B$3</f>
        <v>0.7238</v>
      </c>
      <c r="O72" s="48">
        <f>$N72*$B$4/2000</f>
        <v>3.1702440000000003</v>
      </c>
      <c r="P72" s="47">
        <f t="shared" si="28"/>
        <v>0.9738</v>
      </c>
      <c r="Q72" s="48">
        <f t="shared" si="26"/>
        <v>4.265244</v>
      </c>
      <c r="R72" s="23" t="str">
        <f>IF($E$15=Q72,"Match","")</f>
        <v/>
      </c>
    </row>
    <row r="73" spans="8:18" x14ac:dyDescent="0.2">
      <c r="H73" s="23"/>
      <c r="I73" s="22" t="s">
        <v>88</v>
      </c>
      <c r="J73" s="22" t="s">
        <v>113</v>
      </c>
      <c r="K73" s="23"/>
      <c r="L73" s="117">
        <v>1.08</v>
      </c>
      <c r="M73" s="24">
        <f>$L73/$K$1</f>
        <v>7.7142857142857152E-3</v>
      </c>
      <c r="N73" s="47">
        <f>$M73*$B$3</f>
        <v>0.19285714285714289</v>
      </c>
      <c r="O73" s="48">
        <f>$N73*$B$4/2000</f>
        <v>0.84471428571428586</v>
      </c>
      <c r="P73" s="47">
        <f>N73+$M$58</f>
        <v>0.42500000000000004</v>
      </c>
      <c r="Q73" s="48">
        <f>O73+$N$58</f>
        <v>1.8615000000000004</v>
      </c>
      <c r="R73" s="23" t="str">
        <f>IF($E$15=Q73,"Match","")</f>
        <v/>
      </c>
    </row>
    <row r="74" spans="8:18" x14ac:dyDescent="0.2">
      <c r="H74" s="23"/>
      <c r="I74" s="22"/>
      <c r="J74" s="22"/>
      <c r="K74" s="23"/>
      <c r="L74" s="23"/>
      <c r="M74" s="24"/>
      <c r="N74" s="25"/>
      <c r="O74" s="25"/>
      <c r="P74" s="3"/>
    </row>
    <row r="75" spans="8:18" x14ac:dyDescent="0.2">
      <c r="K75" s="44" t="s">
        <v>117</v>
      </c>
      <c r="L75" s="40" t="s">
        <v>106</v>
      </c>
      <c r="N75" s="141" t="s">
        <v>118</v>
      </c>
      <c r="O75" s="142"/>
      <c r="P75" s="141" t="s">
        <v>119</v>
      </c>
      <c r="Q75" s="142"/>
    </row>
    <row r="76" spans="8:18" ht="13.5" thickBot="1" x14ac:dyDescent="0.25">
      <c r="H76" s="31" t="s">
        <v>122</v>
      </c>
      <c r="I76" s="31" t="s">
        <v>69</v>
      </c>
      <c r="J76" s="31" t="s">
        <v>112</v>
      </c>
      <c r="K76" s="41" t="s">
        <v>96</v>
      </c>
      <c r="L76" s="41" t="s">
        <v>96</v>
      </c>
      <c r="M76" s="31" t="s">
        <v>75</v>
      </c>
      <c r="N76" s="45" t="s">
        <v>76</v>
      </c>
      <c r="O76" s="46" t="s">
        <v>77</v>
      </c>
      <c r="P76" s="45" t="s">
        <v>76</v>
      </c>
      <c r="Q76" s="46" t="s">
        <v>77</v>
      </c>
      <c r="R76" s="30" t="s">
        <v>87</v>
      </c>
    </row>
    <row r="77" spans="8:18" x14ac:dyDescent="0.2">
      <c r="H77" s="23"/>
      <c r="I77" s="22" t="s">
        <v>70</v>
      </c>
      <c r="J77" s="22" t="s">
        <v>114</v>
      </c>
      <c r="K77" s="117">
        <v>4.3</v>
      </c>
      <c r="L77" s="23">
        <f>K77*(1.12*B24+0.37)</f>
        <v>121.99100000000001</v>
      </c>
      <c r="M77" s="24">
        <f>$L77/$K$2</f>
        <v>0.8132733333333334</v>
      </c>
      <c r="N77" s="47">
        <f>$M77*$B$3</f>
        <v>20.331833333333336</v>
      </c>
      <c r="O77" s="48">
        <f>$N77*$B$4/2000</f>
        <v>89.053430000000006</v>
      </c>
      <c r="P77" s="47">
        <f>N77+$M$59</f>
        <v>20.581833333333336</v>
      </c>
      <c r="Q77" s="48">
        <f>O77+$N$59</f>
        <v>90.148430000000005</v>
      </c>
      <c r="R77" s="23" t="str">
        <f t="shared" ref="R77:R87" si="32">IF($E$16=Q77,"Match","")</f>
        <v/>
      </c>
    </row>
    <row r="78" spans="8:18" x14ac:dyDescent="0.2">
      <c r="H78" s="23"/>
      <c r="I78" s="22" t="s">
        <v>70</v>
      </c>
      <c r="J78" s="22" t="s">
        <v>115</v>
      </c>
      <c r="K78" s="117">
        <v>4.3</v>
      </c>
      <c r="L78" s="23">
        <f>K78*1.2</f>
        <v>5.1599999999999993</v>
      </c>
      <c r="M78" s="24">
        <f>$L78/$K$2</f>
        <v>3.4399999999999993E-2</v>
      </c>
      <c r="N78" s="47">
        <f t="shared" ref="N78:N81" si="33">$M78*$B$3</f>
        <v>0.85999999999999988</v>
      </c>
      <c r="O78" s="48">
        <f t="shared" ref="O78:O81" si="34">$N78*$B$4/2000</f>
        <v>3.7667999999999995</v>
      </c>
      <c r="P78" s="47">
        <f t="shared" ref="P78:P82" si="35">N78+$M$59</f>
        <v>1.1099999999999999</v>
      </c>
      <c r="Q78" s="48">
        <f t="shared" ref="Q78:Q82" si="36">O78+$N$59</f>
        <v>4.8617999999999997</v>
      </c>
      <c r="R78" s="23" t="str">
        <f t="shared" si="32"/>
        <v/>
      </c>
    </row>
    <row r="79" spans="8:18" x14ac:dyDescent="0.2">
      <c r="H79" s="32"/>
      <c r="I79" s="33" t="s">
        <v>70</v>
      </c>
      <c r="J79" s="33" t="s">
        <v>116</v>
      </c>
      <c r="K79" s="118">
        <v>4.3</v>
      </c>
      <c r="L79" s="32">
        <f>K79*0.84</f>
        <v>3.6119999999999997</v>
      </c>
      <c r="M79" s="34">
        <f>$L79/$K$2</f>
        <v>2.4079999999999997E-2</v>
      </c>
      <c r="N79" s="49">
        <f>$M79*$B$3</f>
        <v>0.60199999999999998</v>
      </c>
      <c r="O79" s="50">
        <f>$N79*$B$4/2000</f>
        <v>2.6367599999999998</v>
      </c>
      <c r="P79" s="49">
        <f t="shared" si="35"/>
        <v>0.85199999999999998</v>
      </c>
      <c r="Q79" s="50">
        <f t="shared" si="36"/>
        <v>3.7317599999999995</v>
      </c>
      <c r="R79" s="32" t="str">
        <f t="shared" si="32"/>
        <v/>
      </c>
    </row>
    <row r="80" spans="8:18" x14ac:dyDescent="0.2">
      <c r="H80" s="36"/>
      <c r="I80" s="37" t="s">
        <v>111</v>
      </c>
      <c r="J80" s="37" t="s">
        <v>114</v>
      </c>
      <c r="K80" s="119">
        <v>4.67</v>
      </c>
      <c r="L80" s="36">
        <f>K80*(1.12*B27+0.37)</f>
        <v>1.7279</v>
      </c>
      <c r="M80" s="38">
        <f>$L80/$K$2</f>
        <v>1.1519333333333333E-2</v>
      </c>
      <c r="N80" s="51">
        <f>$M80*$B$3</f>
        <v>0.28798333333333331</v>
      </c>
      <c r="O80" s="52">
        <f>$N80*$B$4/2000</f>
        <v>1.2613669999999999</v>
      </c>
      <c r="P80" s="51">
        <f t="shared" si="35"/>
        <v>0.53798333333333326</v>
      </c>
      <c r="Q80" s="52">
        <f t="shared" si="36"/>
        <v>2.3563669999999997</v>
      </c>
      <c r="R80" s="36" t="str">
        <f t="shared" si="32"/>
        <v/>
      </c>
    </row>
    <row r="81" spans="8:19" x14ac:dyDescent="0.2">
      <c r="H81" s="23"/>
      <c r="I81" s="22" t="s">
        <v>111</v>
      </c>
      <c r="J81" s="22" t="s">
        <v>115</v>
      </c>
      <c r="K81" s="117">
        <v>4.67</v>
      </c>
      <c r="L81" s="23">
        <f>K81*1.2</f>
        <v>5.6040000000000001</v>
      </c>
      <c r="M81" s="24">
        <f t="shared" ref="M81" si="37">$L81/$K$2</f>
        <v>3.7359999999999997E-2</v>
      </c>
      <c r="N81" s="47">
        <f t="shared" si="33"/>
        <v>0.93399999999999994</v>
      </c>
      <c r="O81" s="48">
        <f t="shared" si="34"/>
        <v>4.0909199999999997</v>
      </c>
      <c r="P81" s="47">
        <f t="shared" si="35"/>
        <v>1.1839999999999999</v>
      </c>
      <c r="Q81" s="48">
        <f t="shared" si="36"/>
        <v>5.1859199999999994</v>
      </c>
      <c r="R81" s="23" t="str">
        <f t="shared" si="32"/>
        <v/>
      </c>
    </row>
    <row r="82" spans="8:19" x14ac:dyDescent="0.2">
      <c r="H82" s="23"/>
      <c r="I82" s="22" t="s">
        <v>111</v>
      </c>
      <c r="J82" s="22" t="s">
        <v>116</v>
      </c>
      <c r="K82" s="117">
        <v>4.67</v>
      </c>
      <c r="L82" s="23">
        <f>K82*0.84</f>
        <v>3.9227999999999996</v>
      </c>
      <c r="M82" s="24">
        <f>$L82/$K$2</f>
        <v>2.6151999999999998E-2</v>
      </c>
      <c r="N82" s="47">
        <f>$M82*$B$3</f>
        <v>0.65379999999999994</v>
      </c>
      <c r="O82" s="48">
        <f>$N82*$B$4/2000</f>
        <v>2.8636439999999999</v>
      </c>
      <c r="P82" s="47">
        <f t="shared" si="35"/>
        <v>0.90379999999999994</v>
      </c>
      <c r="Q82" s="48">
        <f t="shared" si="36"/>
        <v>3.9586439999999996</v>
      </c>
      <c r="R82" s="23" t="str">
        <f t="shared" si="32"/>
        <v/>
      </c>
    </row>
    <row r="83" spans="8:19" x14ac:dyDescent="0.2">
      <c r="H83" s="32"/>
      <c r="I83" s="33" t="s">
        <v>111</v>
      </c>
      <c r="J83" s="33" t="s">
        <v>113</v>
      </c>
      <c r="K83" s="32"/>
      <c r="L83" s="122">
        <v>0.25</v>
      </c>
      <c r="M83" s="34">
        <f>$L83/$K$1</f>
        <v>1.7857142857142857E-3</v>
      </c>
      <c r="N83" s="49">
        <f>$M83*$B$3</f>
        <v>4.4642857142857144E-2</v>
      </c>
      <c r="O83" s="50">
        <f>$N83*$B$4/2000</f>
        <v>0.19553571428571428</v>
      </c>
      <c r="P83" s="49">
        <f>N83+$M$58</f>
        <v>0.2767857142857143</v>
      </c>
      <c r="Q83" s="50">
        <f>O83+$N$58</f>
        <v>1.2123214285714288</v>
      </c>
      <c r="R83" s="32" t="str">
        <f t="shared" si="32"/>
        <v>Match</v>
      </c>
    </row>
    <row r="84" spans="8:19" x14ac:dyDescent="0.2">
      <c r="H84" s="36"/>
      <c r="I84" s="37" t="s">
        <v>88</v>
      </c>
      <c r="J84" s="37" t="s">
        <v>114</v>
      </c>
      <c r="K84" s="119">
        <v>1.92</v>
      </c>
      <c r="L84" s="36">
        <f>K84*(1.12*B31+0.37)</f>
        <v>0.71039999999999992</v>
      </c>
      <c r="M84" s="38">
        <f>$L84/$K$2</f>
        <v>4.7359999999999998E-3</v>
      </c>
      <c r="N84" s="51">
        <f>$M84*$B$3</f>
        <v>0.11839999999999999</v>
      </c>
      <c r="O84" s="52">
        <f>$N84*$B$4/2000</f>
        <v>0.51859199999999994</v>
      </c>
      <c r="P84" s="51">
        <f t="shared" ref="P84:P86" si="38">N84+$M$59</f>
        <v>0.36840000000000001</v>
      </c>
      <c r="Q84" s="52">
        <f t="shared" ref="Q84:Q86" si="39">O84+$N$59</f>
        <v>1.6135919999999999</v>
      </c>
      <c r="R84" s="36" t="str">
        <f t="shared" si="32"/>
        <v/>
      </c>
    </row>
    <row r="85" spans="8:19" x14ac:dyDescent="0.2">
      <c r="H85" s="23"/>
      <c r="I85" s="22" t="s">
        <v>88</v>
      </c>
      <c r="J85" s="22" t="s">
        <v>115</v>
      </c>
      <c r="K85" s="117">
        <v>1.92</v>
      </c>
      <c r="L85" s="23">
        <f>K85*1.2</f>
        <v>2.3039999999999998</v>
      </c>
      <c r="M85" s="24">
        <f t="shared" ref="M85" si="40">$L85/$K$2</f>
        <v>1.5359999999999999E-2</v>
      </c>
      <c r="N85" s="47">
        <f t="shared" ref="N85" si="41">$M85*$B$3</f>
        <v>0.38399999999999995</v>
      </c>
      <c r="O85" s="48">
        <f t="shared" ref="O85" si="42">$N85*$B$4/2000</f>
        <v>1.6819199999999999</v>
      </c>
      <c r="P85" s="47">
        <f t="shared" si="38"/>
        <v>0.6339999999999999</v>
      </c>
      <c r="Q85" s="48">
        <f t="shared" si="39"/>
        <v>2.7769199999999996</v>
      </c>
      <c r="R85" s="23" t="str">
        <f t="shared" si="32"/>
        <v/>
      </c>
    </row>
    <row r="86" spans="8:19" x14ac:dyDescent="0.2">
      <c r="H86" s="23"/>
      <c r="I86" s="22" t="s">
        <v>88</v>
      </c>
      <c r="J86" s="22" t="s">
        <v>116</v>
      </c>
      <c r="K86" s="117">
        <v>1.92</v>
      </c>
      <c r="L86" s="23">
        <f>K86*0.84</f>
        <v>1.6127999999999998</v>
      </c>
      <c r="M86" s="24">
        <f>$L86/$K$2</f>
        <v>1.0751999999999999E-2</v>
      </c>
      <c r="N86" s="47">
        <f>$M86*$B$3</f>
        <v>0.26879999999999998</v>
      </c>
      <c r="O86" s="48">
        <f>$N86*$B$4/2000</f>
        <v>1.1773439999999997</v>
      </c>
      <c r="P86" s="47">
        <f t="shared" si="38"/>
        <v>0.51879999999999993</v>
      </c>
      <c r="Q86" s="48">
        <f t="shared" si="39"/>
        <v>2.2723439999999995</v>
      </c>
      <c r="R86" s="23" t="str">
        <f t="shared" si="32"/>
        <v/>
      </c>
    </row>
    <row r="87" spans="8:19" x14ac:dyDescent="0.2">
      <c r="H87" s="23"/>
      <c r="I87" s="22" t="s">
        <v>88</v>
      </c>
      <c r="J87" s="22" t="s">
        <v>120</v>
      </c>
      <c r="K87" s="23"/>
      <c r="L87" s="117">
        <v>0.83</v>
      </c>
      <c r="M87" s="24">
        <f>$L87/$K$1</f>
        <v>5.928571428571428E-3</v>
      </c>
      <c r="N87" s="47">
        <f>$M87*$B$3</f>
        <v>0.14821428571428569</v>
      </c>
      <c r="O87" s="48">
        <f>$N87*$B$4/2000</f>
        <v>0.64917857142857138</v>
      </c>
      <c r="P87" s="47">
        <f>N87+$M$58</f>
        <v>0.38035714285714284</v>
      </c>
      <c r="Q87" s="48">
        <f>O87+$N$58</f>
        <v>1.6659642857142858</v>
      </c>
      <c r="R87" s="23" t="str">
        <f t="shared" si="32"/>
        <v/>
      </c>
    </row>
    <row r="88" spans="8:19" x14ac:dyDescent="0.2">
      <c r="H88" s="23"/>
      <c r="I88" s="22"/>
      <c r="J88" s="22"/>
      <c r="K88" s="23"/>
      <c r="L88" s="23"/>
      <c r="M88" s="24"/>
      <c r="N88" s="25"/>
      <c r="O88" s="25"/>
      <c r="P88" s="3"/>
    </row>
    <row r="89" spans="8:19" ht="13.5" thickBot="1" x14ac:dyDescent="0.25">
      <c r="H89" s="31" t="s">
        <v>8</v>
      </c>
      <c r="I89" s="31" t="s">
        <v>72</v>
      </c>
      <c r="J89" s="30" t="s">
        <v>125</v>
      </c>
      <c r="K89" s="30" t="s">
        <v>96</v>
      </c>
      <c r="L89" s="31" t="s">
        <v>75</v>
      </c>
      <c r="M89" s="31" t="s">
        <v>76</v>
      </c>
      <c r="N89" s="31" t="s">
        <v>77</v>
      </c>
      <c r="O89" s="30" t="s">
        <v>87</v>
      </c>
      <c r="P89" s="23"/>
    </row>
    <row r="90" spans="8:19" x14ac:dyDescent="0.2">
      <c r="H90" s="23"/>
      <c r="I90" s="22" t="s">
        <v>70</v>
      </c>
      <c r="J90" s="22" t="s">
        <v>92</v>
      </c>
      <c r="K90" s="117">
        <v>0.76</v>
      </c>
      <c r="L90" s="24">
        <f t="shared" ref="L90:L103" si="43">$K90/$K$2</f>
        <v>5.0666666666666664E-3</v>
      </c>
      <c r="M90" s="25">
        <f t="shared" ref="M90:M104" si="44">$L90*$B$3</f>
        <v>0.12666666666666665</v>
      </c>
      <c r="N90" s="25">
        <f t="shared" ref="N90:N104" si="45">$M90*$B$4/2000</f>
        <v>0.55479999999999996</v>
      </c>
      <c r="O90" s="23" t="str">
        <f t="shared" ref="O90:O104" si="46">IF($E$18=N90,"Match","")</f>
        <v/>
      </c>
    </row>
    <row r="91" spans="8:19" x14ac:dyDescent="0.2">
      <c r="H91" s="23"/>
      <c r="I91" s="22" t="s">
        <v>70</v>
      </c>
      <c r="J91" s="22" t="s">
        <v>94</v>
      </c>
      <c r="K91" s="117">
        <v>0.76</v>
      </c>
      <c r="L91" s="24">
        <f t="shared" si="43"/>
        <v>5.0666666666666664E-3</v>
      </c>
      <c r="M91" s="25">
        <f t="shared" si="44"/>
        <v>0.12666666666666665</v>
      </c>
      <c r="N91" s="25">
        <f t="shared" si="45"/>
        <v>0.55479999999999996</v>
      </c>
      <c r="O91" s="23" t="str">
        <f t="shared" si="46"/>
        <v/>
      </c>
      <c r="S91" s="19"/>
    </row>
    <row r="92" spans="8:19" x14ac:dyDescent="0.2">
      <c r="H92" s="23"/>
      <c r="I92" s="22" t="s">
        <v>70</v>
      </c>
      <c r="J92" s="22" t="s">
        <v>97</v>
      </c>
      <c r="K92" s="117">
        <v>0.76</v>
      </c>
      <c r="L92" s="24">
        <f t="shared" si="43"/>
        <v>5.0666666666666664E-3</v>
      </c>
      <c r="M92" s="25">
        <f t="shared" si="44"/>
        <v>0.12666666666666665</v>
      </c>
      <c r="N92" s="25">
        <f t="shared" si="45"/>
        <v>0.55479999999999996</v>
      </c>
      <c r="O92" s="23" t="str">
        <f t="shared" si="46"/>
        <v/>
      </c>
      <c r="P92" s="23"/>
      <c r="S92" s="19"/>
    </row>
    <row r="93" spans="8:19" x14ac:dyDescent="0.2">
      <c r="H93" s="23"/>
      <c r="I93" s="22" t="s">
        <v>70</v>
      </c>
      <c r="J93" s="22" t="s">
        <v>98</v>
      </c>
      <c r="K93" s="117">
        <v>0.76</v>
      </c>
      <c r="L93" s="24">
        <f t="shared" si="43"/>
        <v>5.0666666666666664E-3</v>
      </c>
      <c r="M93" s="25">
        <f t="shared" si="44"/>
        <v>0.12666666666666665</v>
      </c>
      <c r="N93" s="25">
        <f t="shared" si="45"/>
        <v>0.55479999999999996</v>
      </c>
      <c r="O93" s="23" t="str">
        <f t="shared" si="46"/>
        <v/>
      </c>
      <c r="P93" s="23"/>
    </row>
    <row r="94" spans="8:19" x14ac:dyDescent="0.2">
      <c r="H94" s="23"/>
      <c r="I94" s="22" t="s">
        <v>70</v>
      </c>
      <c r="J94" s="22" t="s">
        <v>99</v>
      </c>
      <c r="K94" s="117">
        <v>0.76</v>
      </c>
      <c r="L94" s="24">
        <f t="shared" si="43"/>
        <v>5.0666666666666664E-3</v>
      </c>
      <c r="M94" s="25">
        <f t="shared" si="44"/>
        <v>0.12666666666666665</v>
      </c>
      <c r="N94" s="25">
        <f t="shared" si="45"/>
        <v>0.55479999999999996</v>
      </c>
      <c r="O94" s="23" t="str">
        <f t="shared" si="46"/>
        <v/>
      </c>
      <c r="P94" s="23"/>
    </row>
    <row r="95" spans="8:19" x14ac:dyDescent="0.2">
      <c r="H95" s="32"/>
      <c r="I95" s="33" t="s">
        <v>70</v>
      </c>
      <c r="J95" s="33" t="s">
        <v>100</v>
      </c>
      <c r="K95" s="118">
        <v>0.76</v>
      </c>
      <c r="L95" s="34">
        <f t="shared" si="43"/>
        <v>5.0666666666666664E-3</v>
      </c>
      <c r="M95" s="35">
        <f t="shared" si="44"/>
        <v>0.12666666666666665</v>
      </c>
      <c r="N95" s="35">
        <f t="shared" si="45"/>
        <v>0.55479999999999996</v>
      </c>
      <c r="O95" s="32" t="str">
        <f t="shared" si="46"/>
        <v/>
      </c>
      <c r="P95" s="23"/>
    </row>
    <row r="96" spans="8:19" x14ac:dyDescent="0.2">
      <c r="H96" s="36"/>
      <c r="I96" s="37" t="s">
        <v>111</v>
      </c>
      <c r="J96" s="37" t="s">
        <v>92</v>
      </c>
      <c r="K96" s="119">
        <v>0.28000000000000003</v>
      </c>
      <c r="L96" s="38">
        <f t="shared" si="43"/>
        <v>1.8666666666666669E-3</v>
      </c>
      <c r="M96" s="39">
        <f t="shared" si="44"/>
        <v>4.6666666666666669E-2</v>
      </c>
      <c r="N96" s="39">
        <f t="shared" si="45"/>
        <v>0.2044</v>
      </c>
      <c r="O96" s="36" t="str">
        <f t="shared" si="46"/>
        <v/>
      </c>
      <c r="P96" s="23"/>
    </row>
    <row r="97" spans="8:15" x14ac:dyDescent="0.2">
      <c r="H97" s="23"/>
      <c r="I97" s="22" t="s">
        <v>111</v>
      </c>
      <c r="J97" s="22" t="s">
        <v>97</v>
      </c>
      <c r="K97" s="117">
        <v>0.28000000000000003</v>
      </c>
      <c r="L97" s="24">
        <f t="shared" si="43"/>
        <v>1.8666666666666669E-3</v>
      </c>
      <c r="M97" s="25">
        <f t="shared" si="44"/>
        <v>4.6666666666666669E-2</v>
      </c>
      <c r="N97" s="25">
        <f t="shared" si="45"/>
        <v>0.2044</v>
      </c>
      <c r="O97" s="23" t="str">
        <f t="shared" si="46"/>
        <v/>
      </c>
    </row>
    <row r="98" spans="8:15" x14ac:dyDescent="0.2">
      <c r="H98" s="23"/>
      <c r="I98" s="22" t="s">
        <v>111</v>
      </c>
      <c r="J98" s="22" t="s">
        <v>103</v>
      </c>
      <c r="K98" s="117">
        <v>0.2</v>
      </c>
      <c r="L98" s="24">
        <f>$K98/$K$1</f>
        <v>1.4285714285714286E-3</v>
      </c>
      <c r="M98" s="25">
        <f t="shared" si="44"/>
        <v>3.5714285714285712E-2</v>
      </c>
      <c r="N98" s="25">
        <f t="shared" si="45"/>
        <v>0.15642857142857142</v>
      </c>
      <c r="O98" s="23" t="str">
        <f t="shared" si="46"/>
        <v>Match</v>
      </c>
    </row>
    <row r="99" spans="8:15" x14ac:dyDescent="0.2">
      <c r="H99" s="32"/>
      <c r="I99" s="33" t="s">
        <v>111</v>
      </c>
      <c r="J99" s="33" t="s">
        <v>99</v>
      </c>
      <c r="K99" s="118">
        <v>0.2</v>
      </c>
      <c r="L99" s="34">
        <f t="shared" si="43"/>
        <v>1.3333333333333335E-3</v>
      </c>
      <c r="M99" s="35">
        <f t="shared" si="44"/>
        <v>3.333333333333334E-2</v>
      </c>
      <c r="N99" s="35">
        <f t="shared" si="45"/>
        <v>0.14600000000000002</v>
      </c>
      <c r="O99" s="32" t="str">
        <f t="shared" si="46"/>
        <v/>
      </c>
    </row>
    <row r="100" spans="8:15" x14ac:dyDescent="0.2">
      <c r="H100" s="36"/>
      <c r="I100" s="37" t="s">
        <v>123</v>
      </c>
      <c r="J100" s="37" t="s">
        <v>92</v>
      </c>
      <c r="K100" s="119">
        <v>1.1299999999999999</v>
      </c>
      <c r="L100" s="38">
        <f t="shared" si="43"/>
        <v>7.5333333333333329E-3</v>
      </c>
      <c r="M100" s="39">
        <f t="shared" si="44"/>
        <v>0.18833333333333332</v>
      </c>
      <c r="N100" s="39">
        <f t="shared" si="45"/>
        <v>0.82489999999999997</v>
      </c>
      <c r="O100" s="36" t="str">
        <f t="shared" si="46"/>
        <v/>
      </c>
    </row>
    <row r="101" spans="8:15" x14ac:dyDescent="0.2">
      <c r="H101" s="23"/>
      <c r="I101" s="22" t="s">
        <v>123</v>
      </c>
      <c r="J101" s="22" t="s">
        <v>97</v>
      </c>
      <c r="K101" s="117">
        <v>1.1299999999999999</v>
      </c>
      <c r="L101" s="24">
        <f t="shared" si="43"/>
        <v>7.5333333333333329E-3</v>
      </c>
      <c r="M101" s="25">
        <f t="shared" si="44"/>
        <v>0.18833333333333332</v>
      </c>
      <c r="N101" s="25">
        <f t="shared" si="45"/>
        <v>0.82489999999999997</v>
      </c>
      <c r="O101" s="23" t="str">
        <f t="shared" si="46"/>
        <v/>
      </c>
    </row>
    <row r="102" spans="8:15" x14ac:dyDescent="0.2">
      <c r="H102" s="23"/>
      <c r="I102" s="22" t="s">
        <v>123</v>
      </c>
      <c r="J102" s="22" t="s">
        <v>103</v>
      </c>
      <c r="K102" s="117">
        <v>0.34</v>
      </c>
      <c r="L102" s="24">
        <f>$K102/$K$1</f>
        <v>2.4285714285714288E-3</v>
      </c>
      <c r="M102" s="25">
        <f t="shared" si="44"/>
        <v>6.0714285714285721E-2</v>
      </c>
      <c r="N102" s="25">
        <f t="shared" si="45"/>
        <v>0.26592857142857146</v>
      </c>
      <c r="O102" s="23" t="str">
        <f t="shared" si="46"/>
        <v/>
      </c>
    </row>
    <row r="103" spans="8:15" x14ac:dyDescent="0.2">
      <c r="H103" s="32"/>
      <c r="I103" s="33" t="s">
        <v>123</v>
      </c>
      <c r="J103" s="33" t="s">
        <v>99</v>
      </c>
      <c r="K103" s="118">
        <v>0.34</v>
      </c>
      <c r="L103" s="34">
        <f t="shared" si="43"/>
        <v>2.2666666666666668E-3</v>
      </c>
      <c r="M103" s="35">
        <f t="shared" si="44"/>
        <v>5.6666666666666671E-2</v>
      </c>
      <c r="N103" s="35">
        <f t="shared" si="45"/>
        <v>0.2482</v>
      </c>
      <c r="O103" s="32" t="str">
        <f t="shared" si="46"/>
        <v/>
      </c>
    </row>
    <row r="104" spans="8:15" x14ac:dyDescent="0.2">
      <c r="H104" s="36"/>
      <c r="I104" s="37" t="s">
        <v>124</v>
      </c>
      <c r="J104" s="37" t="s">
        <v>104</v>
      </c>
      <c r="K104" s="119">
        <v>0.71299999999999997</v>
      </c>
      <c r="L104" s="38">
        <f>$K104/$K$1</f>
        <v>5.0928571428571429E-3</v>
      </c>
      <c r="M104" s="39">
        <f t="shared" si="44"/>
        <v>0.12732142857142859</v>
      </c>
      <c r="N104" s="39">
        <f t="shared" si="45"/>
        <v>0.55766785714285716</v>
      </c>
      <c r="O104" s="36" t="str">
        <f t="shared" si="46"/>
        <v/>
      </c>
    </row>
    <row r="105" spans="8:15" x14ac:dyDescent="0.2">
      <c r="H105" s="23"/>
      <c r="I105" s="23"/>
      <c r="J105" s="23"/>
      <c r="K105" s="23"/>
      <c r="L105" s="23"/>
      <c r="M105" s="23"/>
      <c r="N105" s="23"/>
      <c r="O105" s="23"/>
    </row>
    <row r="106" spans="8:15" ht="13.5" thickBot="1" x14ac:dyDescent="0.25">
      <c r="H106" s="31" t="s">
        <v>82</v>
      </c>
      <c r="I106" s="31" t="s">
        <v>72</v>
      </c>
      <c r="J106" s="30" t="s">
        <v>125</v>
      </c>
      <c r="K106" s="30" t="s">
        <v>96</v>
      </c>
      <c r="L106" s="31" t="s">
        <v>75</v>
      </c>
      <c r="M106" s="31" t="s">
        <v>76</v>
      </c>
      <c r="N106" s="31" t="s">
        <v>77</v>
      </c>
      <c r="O106" s="30" t="s">
        <v>87</v>
      </c>
    </row>
    <row r="107" spans="8:15" x14ac:dyDescent="0.2">
      <c r="H107" s="23">
        <v>25</v>
      </c>
      <c r="I107" s="22" t="s">
        <v>70</v>
      </c>
      <c r="J107" s="22" t="s">
        <v>92</v>
      </c>
      <c r="K107" s="117">
        <v>0.28000000000000003</v>
      </c>
      <c r="L107" s="24">
        <f t="shared" ref="L107:L120" si="47">$K107/$K$2</f>
        <v>1.8666666666666669E-3</v>
      </c>
      <c r="M107" s="25">
        <f t="shared" ref="M107:M121" si="48">$L107*$B$3</f>
        <v>4.6666666666666669E-2</v>
      </c>
      <c r="N107" s="25">
        <f t="shared" ref="N107:N121" si="49">$M107*$B$4/2000</f>
        <v>0.2044</v>
      </c>
      <c r="O107" s="23" t="str">
        <f t="shared" ref="O107:O121" si="50">IF($E$24=N107,"Match","")</f>
        <v/>
      </c>
    </row>
    <row r="108" spans="8:15" x14ac:dyDescent="0.2">
      <c r="H108" s="23">
        <v>25</v>
      </c>
      <c r="I108" s="22" t="s">
        <v>70</v>
      </c>
      <c r="J108" s="22" t="s">
        <v>94</v>
      </c>
      <c r="K108" s="117">
        <v>0.28000000000000003</v>
      </c>
      <c r="L108" s="24">
        <f t="shared" si="47"/>
        <v>1.8666666666666669E-3</v>
      </c>
      <c r="M108" s="25">
        <f t="shared" si="48"/>
        <v>4.6666666666666669E-2</v>
      </c>
      <c r="N108" s="25">
        <f t="shared" si="49"/>
        <v>0.2044</v>
      </c>
      <c r="O108" s="23" t="str">
        <f t="shared" si="50"/>
        <v/>
      </c>
    </row>
    <row r="109" spans="8:15" x14ac:dyDescent="0.2">
      <c r="H109" s="23">
        <v>25</v>
      </c>
      <c r="I109" s="22" t="s">
        <v>70</v>
      </c>
      <c r="J109" s="22" t="s">
        <v>97</v>
      </c>
      <c r="K109" s="117">
        <v>0.28000000000000003</v>
      </c>
      <c r="L109" s="24">
        <f t="shared" si="47"/>
        <v>1.8666666666666669E-3</v>
      </c>
      <c r="M109" s="25">
        <f t="shared" si="48"/>
        <v>4.6666666666666669E-2</v>
      </c>
      <c r="N109" s="25">
        <f t="shared" si="49"/>
        <v>0.2044</v>
      </c>
      <c r="O109" s="23" t="str">
        <f t="shared" si="50"/>
        <v/>
      </c>
    </row>
    <row r="110" spans="8:15" x14ac:dyDescent="0.2">
      <c r="H110" s="23">
        <v>25</v>
      </c>
      <c r="I110" s="22" t="s">
        <v>70</v>
      </c>
      <c r="J110" s="22" t="s">
        <v>98</v>
      </c>
      <c r="K110" s="117">
        <v>0.28000000000000003</v>
      </c>
      <c r="L110" s="24">
        <f t="shared" si="47"/>
        <v>1.8666666666666669E-3</v>
      </c>
      <c r="M110" s="25">
        <f t="shared" si="48"/>
        <v>4.6666666666666669E-2</v>
      </c>
      <c r="N110" s="25">
        <f t="shared" si="49"/>
        <v>0.2044</v>
      </c>
      <c r="O110" s="23" t="str">
        <f t="shared" si="50"/>
        <v/>
      </c>
    </row>
    <row r="111" spans="8:15" x14ac:dyDescent="0.2">
      <c r="H111" s="23">
        <v>25</v>
      </c>
      <c r="I111" s="22" t="s">
        <v>70</v>
      </c>
      <c r="J111" s="22" t="s">
        <v>99</v>
      </c>
      <c r="K111" s="117">
        <v>0.28000000000000003</v>
      </c>
      <c r="L111" s="24">
        <f t="shared" si="47"/>
        <v>1.8666666666666669E-3</v>
      </c>
      <c r="M111" s="25">
        <f t="shared" si="48"/>
        <v>4.6666666666666669E-2</v>
      </c>
      <c r="N111" s="25">
        <f t="shared" si="49"/>
        <v>0.2044</v>
      </c>
      <c r="O111" s="23" t="str">
        <f t="shared" si="50"/>
        <v/>
      </c>
    </row>
    <row r="112" spans="8:15" x14ac:dyDescent="0.2">
      <c r="H112" s="32">
        <v>25</v>
      </c>
      <c r="I112" s="33" t="s">
        <v>70</v>
      </c>
      <c r="J112" s="33" t="s">
        <v>100</v>
      </c>
      <c r="K112" s="118">
        <v>0.28000000000000003</v>
      </c>
      <c r="L112" s="34">
        <f t="shared" si="47"/>
        <v>1.8666666666666669E-3</v>
      </c>
      <c r="M112" s="35">
        <f t="shared" si="48"/>
        <v>4.6666666666666669E-2</v>
      </c>
      <c r="N112" s="35">
        <f t="shared" si="49"/>
        <v>0.2044</v>
      </c>
      <c r="O112" s="32" t="str">
        <f t="shared" si="50"/>
        <v/>
      </c>
    </row>
    <row r="113" spans="8:15" x14ac:dyDescent="0.2">
      <c r="H113" s="36">
        <v>25</v>
      </c>
      <c r="I113" s="37" t="s">
        <v>111</v>
      </c>
      <c r="J113" s="37" t="s">
        <v>92</v>
      </c>
      <c r="K113" s="123">
        <v>1</v>
      </c>
      <c r="L113" s="38">
        <f t="shared" si="47"/>
        <v>6.6666666666666671E-3</v>
      </c>
      <c r="M113" s="39">
        <f t="shared" si="48"/>
        <v>0.16666666666666669</v>
      </c>
      <c r="N113" s="39">
        <f t="shared" si="49"/>
        <v>0.73000000000000009</v>
      </c>
      <c r="O113" s="36" t="str">
        <f t="shared" si="50"/>
        <v/>
      </c>
    </row>
    <row r="114" spans="8:15" x14ac:dyDescent="0.2">
      <c r="H114" s="23">
        <v>25</v>
      </c>
      <c r="I114" s="22" t="s">
        <v>111</v>
      </c>
      <c r="J114" s="22" t="s">
        <v>97</v>
      </c>
      <c r="K114" s="124">
        <v>1</v>
      </c>
      <c r="L114" s="24">
        <f t="shared" si="47"/>
        <v>6.6666666666666671E-3</v>
      </c>
      <c r="M114" s="25">
        <f t="shared" si="48"/>
        <v>0.16666666666666669</v>
      </c>
      <c r="N114" s="25">
        <f t="shared" si="49"/>
        <v>0.73000000000000009</v>
      </c>
      <c r="O114" s="23" t="str">
        <f t="shared" si="50"/>
        <v/>
      </c>
    </row>
    <row r="115" spans="8:15" x14ac:dyDescent="0.2">
      <c r="H115" s="23">
        <v>25</v>
      </c>
      <c r="I115" s="22" t="s">
        <v>111</v>
      </c>
      <c r="J115" s="22" t="s">
        <v>103</v>
      </c>
      <c r="K115" s="117">
        <v>5.1999999999999998E-2</v>
      </c>
      <c r="L115" s="24">
        <f>$K115/$K$1</f>
        <v>3.7142857142857143E-4</v>
      </c>
      <c r="M115" s="25">
        <f t="shared" si="48"/>
        <v>9.285714285714286E-3</v>
      </c>
      <c r="N115" s="25">
        <f t="shared" si="49"/>
        <v>4.0671428571428574E-2</v>
      </c>
      <c r="O115" s="23" t="str">
        <f t="shared" si="50"/>
        <v>Match</v>
      </c>
    </row>
    <row r="116" spans="8:15" x14ac:dyDescent="0.2">
      <c r="H116" s="32">
        <v>25</v>
      </c>
      <c r="I116" s="33" t="s">
        <v>111</v>
      </c>
      <c r="J116" s="33" t="s">
        <v>99</v>
      </c>
      <c r="K116" s="118">
        <v>5.1999999999999998E-2</v>
      </c>
      <c r="L116" s="34">
        <f t="shared" si="47"/>
        <v>3.4666666666666667E-4</v>
      </c>
      <c r="M116" s="35">
        <f t="shared" si="48"/>
        <v>8.6666666666666663E-3</v>
      </c>
      <c r="N116" s="35">
        <f t="shared" si="49"/>
        <v>3.7960000000000001E-2</v>
      </c>
      <c r="O116" s="32" t="str">
        <f t="shared" si="50"/>
        <v/>
      </c>
    </row>
    <row r="117" spans="8:15" x14ac:dyDescent="0.2">
      <c r="H117" s="36">
        <v>25</v>
      </c>
      <c r="I117" s="37" t="s">
        <v>123</v>
      </c>
      <c r="J117" s="37" t="s">
        <v>92</v>
      </c>
      <c r="K117" s="119">
        <v>0.47499999999999998</v>
      </c>
      <c r="L117" s="38">
        <f t="shared" si="47"/>
        <v>3.1666666666666666E-3</v>
      </c>
      <c r="M117" s="39">
        <f t="shared" si="48"/>
        <v>7.9166666666666663E-2</v>
      </c>
      <c r="N117" s="39">
        <f t="shared" si="49"/>
        <v>0.34675</v>
      </c>
      <c r="O117" s="36" t="str">
        <f t="shared" si="50"/>
        <v/>
      </c>
    </row>
    <row r="118" spans="8:15" x14ac:dyDescent="0.2">
      <c r="H118" s="23">
        <v>25</v>
      </c>
      <c r="I118" s="22" t="s">
        <v>123</v>
      </c>
      <c r="J118" s="22" t="s">
        <v>97</v>
      </c>
      <c r="K118" s="117">
        <v>0.47499999999999998</v>
      </c>
      <c r="L118" s="24">
        <f t="shared" si="47"/>
        <v>3.1666666666666666E-3</v>
      </c>
      <c r="M118" s="25">
        <f t="shared" si="48"/>
        <v>7.9166666666666663E-2</v>
      </c>
      <c r="N118" s="25">
        <f t="shared" si="49"/>
        <v>0.34675</v>
      </c>
      <c r="O118" s="23" t="str">
        <f t="shared" si="50"/>
        <v/>
      </c>
    </row>
    <row r="119" spans="8:15" x14ac:dyDescent="0.2">
      <c r="H119" s="23">
        <v>25</v>
      </c>
      <c r="I119" s="22" t="s">
        <v>123</v>
      </c>
      <c r="J119" s="22" t="s">
        <v>103</v>
      </c>
      <c r="K119" s="117">
        <v>0.216</v>
      </c>
      <c r="L119" s="24">
        <f>$K119/$K$1</f>
        <v>1.5428571428571429E-3</v>
      </c>
      <c r="M119" s="25">
        <f t="shared" si="48"/>
        <v>3.8571428571428576E-2</v>
      </c>
      <c r="N119" s="25">
        <f t="shared" si="49"/>
        <v>0.16894285714285714</v>
      </c>
      <c r="O119" s="23" t="str">
        <f t="shared" si="50"/>
        <v/>
      </c>
    </row>
    <row r="120" spans="8:15" x14ac:dyDescent="0.2">
      <c r="H120" s="32">
        <v>25</v>
      </c>
      <c r="I120" s="33" t="s">
        <v>123</v>
      </c>
      <c r="J120" s="33" t="s">
        <v>99</v>
      </c>
      <c r="K120" s="118">
        <v>0.216</v>
      </c>
      <c r="L120" s="34">
        <f t="shared" si="47"/>
        <v>1.4400000000000001E-3</v>
      </c>
      <c r="M120" s="35">
        <f t="shared" si="48"/>
        <v>3.6000000000000004E-2</v>
      </c>
      <c r="N120" s="35">
        <f t="shared" si="49"/>
        <v>0.15768000000000001</v>
      </c>
      <c r="O120" s="32" t="str">
        <f t="shared" si="50"/>
        <v/>
      </c>
    </row>
    <row r="121" spans="8:15" x14ac:dyDescent="0.2">
      <c r="H121" s="36">
        <v>25</v>
      </c>
      <c r="I121" s="37" t="s">
        <v>124</v>
      </c>
      <c r="J121" s="37" t="s">
        <v>104</v>
      </c>
      <c r="K121" s="119">
        <v>1.78</v>
      </c>
      <c r="L121" s="38">
        <f>$K121/$K$1</f>
        <v>1.2714285714285714E-2</v>
      </c>
      <c r="M121" s="39">
        <f t="shared" si="48"/>
        <v>0.31785714285714284</v>
      </c>
      <c r="N121" s="39">
        <f t="shared" si="49"/>
        <v>1.3922142857142856</v>
      </c>
      <c r="O121" s="36" t="str">
        <f t="shared" si="50"/>
        <v/>
      </c>
    </row>
    <row r="122" spans="8:15" x14ac:dyDescent="0.2">
      <c r="H122" s="23"/>
      <c r="I122" s="23"/>
      <c r="J122" s="23"/>
      <c r="K122" s="23"/>
      <c r="L122" s="23"/>
      <c r="M122" s="23"/>
      <c r="N122" s="23"/>
      <c r="O122" s="23"/>
    </row>
    <row r="123" spans="8:15" ht="13.5" thickBot="1" x14ac:dyDescent="0.25">
      <c r="H123" s="31" t="s">
        <v>79</v>
      </c>
      <c r="I123" s="31" t="s">
        <v>72</v>
      </c>
      <c r="J123" s="30" t="s">
        <v>127</v>
      </c>
      <c r="K123" s="30" t="s">
        <v>96</v>
      </c>
      <c r="L123" s="31" t="s">
        <v>75</v>
      </c>
      <c r="M123" s="31" t="s">
        <v>76</v>
      </c>
      <c r="N123" s="31" t="s">
        <v>77</v>
      </c>
      <c r="O123" s="30" t="s">
        <v>87</v>
      </c>
    </row>
    <row r="124" spans="8:15" x14ac:dyDescent="0.2">
      <c r="H124" s="23">
        <v>298</v>
      </c>
      <c r="I124" s="22" t="s">
        <v>126</v>
      </c>
      <c r="J124" s="22" t="s">
        <v>92</v>
      </c>
      <c r="K124" s="117">
        <v>0.53</v>
      </c>
      <c r="L124" s="24">
        <f t="shared" ref="L124" si="51">$K124/$K$2</f>
        <v>3.5333333333333336E-3</v>
      </c>
      <c r="M124" s="25">
        <f t="shared" ref="M124:M126" si="52">$L124*$B$3</f>
        <v>8.8333333333333347E-2</v>
      </c>
      <c r="N124" s="25">
        <f>$M124*$B$4/2000</f>
        <v>0.38690000000000002</v>
      </c>
      <c r="O124" s="23" t="str">
        <f>IF($E$25=N124,"Match","")</f>
        <v/>
      </c>
    </row>
    <row r="125" spans="8:15" x14ac:dyDescent="0.2">
      <c r="H125" s="23">
        <v>298</v>
      </c>
      <c r="I125" s="22" t="s">
        <v>126</v>
      </c>
      <c r="J125" s="22" t="s">
        <v>103</v>
      </c>
      <c r="K125" s="117">
        <v>0.26</v>
      </c>
      <c r="L125" s="24">
        <f>$K125/$K$1</f>
        <v>1.8571428571428571E-3</v>
      </c>
      <c r="M125" s="25">
        <f t="shared" si="52"/>
        <v>4.642857142857143E-2</v>
      </c>
      <c r="N125" s="25">
        <f>$M125*$B$4/2000</f>
        <v>0.20335714285714285</v>
      </c>
      <c r="O125" s="23" t="str">
        <f>IF($E$25=N125,"Match","")</f>
        <v>Match</v>
      </c>
    </row>
    <row r="126" spans="8:15" x14ac:dyDescent="0.2">
      <c r="H126" s="23">
        <v>298</v>
      </c>
      <c r="I126" s="22" t="s">
        <v>126</v>
      </c>
      <c r="J126" s="22" t="s">
        <v>104</v>
      </c>
      <c r="K126" s="117">
        <v>0.05</v>
      </c>
      <c r="L126" s="24">
        <f>$K126/$K$1</f>
        <v>3.5714285714285714E-4</v>
      </c>
      <c r="M126" s="25">
        <f t="shared" si="52"/>
        <v>8.9285714285714281E-3</v>
      </c>
      <c r="N126" s="25">
        <f>$M126*$B$4/2000</f>
        <v>3.9107142857142854E-2</v>
      </c>
      <c r="O126" s="23" t="str">
        <f>IF($E$25=N126,"Match","")</f>
        <v/>
      </c>
    </row>
    <row r="127" spans="8:15" x14ac:dyDescent="0.2">
      <c r="H127" s="23"/>
      <c r="I127" s="22"/>
      <c r="J127" s="22"/>
      <c r="K127" s="23"/>
      <c r="L127" s="23"/>
      <c r="M127" s="24"/>
      <c r="N127" s="25"/>
      <c r="O127" s="25"/>
    </row>
    <row r="128" spans="8:15" ht="13.5" thickBot="1" x14ac:dyDescent="0.25">
      <c r="H128" s="31" t="s">
        <v>78</v>
      </c>
      <c r="I128" s="31" t="s">
        <v>72</v>
      </c>
      <c r="J128" s="30" t="s">
        <v>153</v>
      </c>
      <c r="K128" s="30" t="s">
        <v>96</v>
      </c>
      <c r="L128" s="31" t="s">
        <v>75</v>
      </c>
      <c r="M128" s="31" t="s">
        <v>76</v>
      </c>
      <c r="N128" s="31" t="s">
        <v>77</v>
      </c>
      <c r="O128" s="30" t="s">
        <v>87</v>
      </c>
    </row>
    <row r="129" spans="8:19" x14ac:dyDescent="0.2">
      <c r="H129" s="23">
        <v>1</v>
      </c>
      <c r="I129" s="22" t="s">
        <v>126</v>
      </c>
      <c r="J129" s="22" t="s">
        <v>134</v>
      </c>
      <c r="K129" s="120">
        <v>21500</v>
      </c>
      <c r="L129" s="24">
        <f>$K129/$K$1</f>
        <v>153.57142857142858</v>
      </c>
      <c r="M129" s="26">
        <f t="shared" ref="M129:M132" si="53">$L129*$B$3</f>
        <v>3839.2857142857147</v>
      </c>
      <c r="N129" s="26">
        <f>$M129*$B$4/2000</f>
        <v>16816.071428571428</v>
      </c>
      <c r="O129" s="23" t="str">
        <f>IF($E$23=N129,"Match","")</f>
        <v/>
      </c>
    </row>
    <row r="130" spans="8:19" x14ac:dyDescent="0.2">
      <c r="H130" s="23">
        <v>1</v>
      </c>
      <c r="I130" s="22" t="s">
        <v>126</v>
      </c>
      <c r="J130" s="22" t="s">
        <v>128</v>
      </c>
      <c r="K130" s="120">
        <v>22300</v>
      </c>
      <c r="L130" s="24">
        <f>$K130/$K$1</f>
        <v>159.28571428571428</v>
      </c>
      <c r="M130" s="26">
        <f t="shared" si="53"/>
        <v>3982.1428571428569</v>
      </c>
      <c r="N130" s="26">
        <f>$M130*$B$4/2000</f>
        <v>17441.785714285714</v>
      </c>
      <c r="O130" s="23" t="str">
        <f>IF($E$23=N130,"Match","")</f>
        <v>Match</v>
      </c>
    </row>
    <row r="131" spans="8:19" x14ac:dyDescent="0.2">
      <c r="H131" s="23">
        <v>1</v>
      </c>
      <c r="I131" s="22" t="s">
        <v>126</v>
      </c>
      <c r="J131" s="22" t="s">
        <v>129</v>
      </c>
      <c r="K131" s="120">
        <v>25000</v>
      </c>
      <c r="L131" s="24">
        <f t="shared" ref="L131:L132" si="54">$K131/$K$2</f>
        <v>166.66666666666666</v>
      </c>
      <c r="M131" s="26">
        <f t="shared" si="53"/>
        <v>4166.6666666666661</v>
      </c>
      <c r="N131" s="26">
        <f>$M131*$B$4/2000</f>
        <v>18249.999999999996</v>
      </c>
      <c r="O131" s="23" t="str">
        <f>IF($E$23=N131,"Match","")</f>
        <v/>
      </c>
    </row>
    <row r="132" spans="8:19" x14ac:dyDescent="0.2">
      <c r="H132" s="23">
        <v>1</v>
      </c>
      <c r="I132" s="22" t="s">
        <v>126</v>
      </c>
      <c r="J132" s="22" t="s">
        <v>130</v>
      </c>
      <c r="K132" s="120">
        <v>24400</v>
      </c>
      <c r="L132" s="24">
        <f t="shared" si="54"/>
        <v>162.66666666666666</v>
      </c>
      <c r="M132" s="26">
        <f t="shared" si="53"/>
        <v>4066.6666666666665</v>
      </c>
      <c r="N132" s="26">
        <f>$M132*$B$4/2000</f>
        <v>17812</v>
      </c>
      <c r="O132" s="23" t="str">
        <f>IF($E$23=N132,"Match","")</f>
        <v/>
      </c>
    </row>
    <row r="133" spans="8:19" x14ac:dyDescent="0.2">
      <c r="H133" s="23"/>
      <c r="I133" s="22"/>
      <c r="J133" s="22"/>
      <c r="K133" s="23"/>
      <c r="L133" s="24"/>
      <c r="M133" s="25"/>
      <c r="N133" s="25"/>
      <c r="O133" s="23"/>
    </row>
    <row r="134" spans="8:19" x14ac:dyDescent="0.2">
      <c r="H134" s="23"/>
      <c r="I134" s="22"/>
      <c r="J134" s="22"/>
      <c r="K134" s="149" t="s">
        <v>78</v>
      </c>
      <c r="L134" s="150"/>
      <c r="M134" s="151" t="s">
        <v>82</v>
      </c>
      <c r="N134" s="152"/>
      <c r="O134" s="149" t="s">
        <v>79</v>
      </c>
      <c r="P134" s="150"/>
      <c r="Q134" s="149" t="s">
        <v>131</v>
      </c>
      <c r="R134" s="150"/>
    </row>
    <row r="135" spans="8:19" ht="13.5" thickBot="1" x14ac:dyDescent="0.25">
      <c r="H135" s="31" t="s">
        <v>83</v>
      </c>
      <c r="I135" s="31" t="s">
        <v>72</v>
      </c>
      <c r="J135" s="30" t="s">
        <v>137</v>
      </c>
      <c r="K135" s="45" t="s">
        <v>76</v>
      </c>
      <c r="L135" s="46" t="s">
        <v>77</v>
      </c>
      <c r="M135" s="45" t="s">
        <v>76</v>
      </c>
      <c r="N135" s="46" t="s">
        <v>77</v>
      </c>
      <c r="O135" s="45" t="s">
        <v>76</v>
      </c>
      <c r="P135" s="46" t="s">
        <v>77</v>
      </c>
      <c r="Q135" s="45" t="s">
        <v>76</v>
      </c>
      <c r="R135" s="46" t="s">
        <v>77</v>
      </c>
      <c r="S135" s="30" t="s">
        <v>87</v>
      </c>
    </row>
    <row r="136" spans="8:19" x14ac:dyDescent="0.2">
      <c r="H136" s="23"/>
      <c r="I136" s="22" t="s">
        <v>70</v>
      </c>
      <c r="J136" s="22" t="s">
        <v>92</v>
      </c>
      <c r="K136" s="54">
        <f>M$131</f>
        <v>4166.6666666666661</v>
      </c>
      <c r="L136" s="55">
        <f>N$131</f>
        <v>18249.999999999996</v>
      </c>
      <c r="M136" s="54">
        <f>$H$107*M107</f>
        <v>1.1666666666666667</v>
      </c>
      <c r="N136" s="55">
        <f>$H$107*N107</f>
        <v>5.1100000000000003</v>
      </c>
      <c r="O136" s="54">
        <f>$H$124*M$124</f>
        <v>26.323333333333338</v>
      </c>
      <c r="P136" s="55">
        <f>$H$124*N$124</f>
        <v>115.29620000000001</v>
      </c>
      <c r="Q136" s="54">
        <f>K136+M136+O136</f>
        <v>4194.1566666666668</v>
      </c>
      <c r="R136" s="55">
        <f t="shared" ref="R136:R152" si="55">L136+N136+P136</f>
        <v>18370.406199999998</v>
      </c>
      <c r="S136" s="23" t="str">
        <f t="shared" ref="S136:S153" si="56">IF($E$26=R136,"Match","")</f>
        <v/>
      </c>
    </row>
    <row r="137" spans="8:19" x14ac:dyDescent="0.2">
      <c r="H137" s="23"/>
      <c r="I137" s="22" t="s">
        <v>70</v>
      </c>
      <c r="J137" s="22" t="s">
        <v>94</v>
      </c>
      <c r="K137" s="54">
        <f t="shared" ref="K137:L143" si="57">M$131</f>
        <v>4166.6666666666661</v>
      </c>
      <c r="L137" s="55">
        <f t="shared" si="57"/>
        <v>18249.999999999996</v>
      </c>
      <c r="M137" s="54">
        <f>$H$108*M108</f>
        <v>1.1666666666666667</v>
      </c>
      <c r="N137" s="55">
        <f>$H$108*N108</f>
        <v>5.1100000000000003</v>
      </c>
      <c r="O137" s="54">
        <f t="shared" ref="O137:P143" si="58">$H$124*M$124</f>
        <v>26.323333333333338</v>
      </c>
      <c r="P137" s="55">
        <f t="shared" si="58"/>
        <v>115.29620000000001</v>
      </c>
      <c r="Q137" s="54">
        <f t="shared" ref="Q137:Q152" si="59">K137+M137+O137</f>
        <v>4194.1566666666668</v>
      </c>
      <c r="R137" s="55">
        <f t="shared" si="55"/>
        <v>18370.406199999998</v>
      </c>
      <c r="S137" s="1" t="str">
        <f t="shared" si="56"/>
        <v/>
      </c>
    </row>
    <row r="138" spans="8:19" x14ac:dyDescent="0.2">
      <c r="H138" s="23"/>
      <c r="I138" s="22" t="s">
        <v>70</v>
      </c>
      <c r="J138" s="22" t="s">
        <v>97</v>
      </c>
      <c r="K138" s="54">
        <f t="shared" si="57"/>
        <v>4166.6666666666661</v>
      </c>
      <c r="L138" s="55">
        <f t="shared" si="57"/>
        <v>18249.999999999996</v>
      </c>
      <c r="M138" s="54">
        <f>$H$109*M109</f>
        <v>1.1666666666666667</v>
      </c>
      <c r="N138" s="55">
        <f>$H$109*N109</f>
        <v>5.1100000000000003</v>
      </c>
      <c r="O138" s="54">
        <f t="shared" si="58"/>
        <v>26.323333333333338</v>
      </c>
      <c r="P138" s="55">
        <f t="shared" si="58"/>
        <v>115.29620000000001</v>
      </c>
      <c r="Q138" s="54">
        <f t="shared" si="59"/>
        <v>4194.1566666666668</v>
      </c>
      <c r="R138" s="55">
        <f t="shared" si="55"/>
        <v>18370.406199999998</v>
      </c>
      <c r="S138" s="1" t="str">
        <f t="shared" si="56"/>
        <v/>
      </c>
    </row>
    <row r="139" spans="8:19" x14ac:dyDescent="0.2">
      <c r="H139" s="23"/>
      <c r="I139" s="22" t="s">
        <v>70</v>
      </c>
      <c r="J139" s="22" t="s">
        <v>98</v>
      </c>
      <c r="K139" s="54">
        <f t="shared" si="57"/>
        <v>4166.6666666666661</v>
      </c>
      <c r="L139" s="55">
        <f t="shared" si="57"/>
        <v>18249.999999999996</v>
      </c>
      <c r="M139" s="54">
        <f>$H$110*M110</f>
        <v>1.1666666666666667</v>
      </c>
      <c r="N139" s="55">
        <f>$H$110*N110</f>
        <v>5.1100000000000003</v>
      </c>
      <c r="O139" s="54">
        <f t="shared" si="58"/>
        <v>26.323333333333338</v>
      </c>
      <c r="P139" s="55">
        <f t="shared" si="58"/>
        <v>115.29620000000001</v>
      </c>
      <c r="Q139" s="54">
        <f t="shared" si="59"/>
        <v>4194.1566666666668</v>
      </c>
      <c r="R139" s="55">
        <f t="shared" si="55"/>
        <v>18370.406199999998</v>
      </c>
      <c r="S139" s="1" t="str">
        <f t="shared" si="56"/>
        <v/>
      </c>
    </row>
    <row r="140" spans="8:19" x14ac:dyDescent="0.2">
      <c r="H140" s="23"/>
      <c r="I140" s="22" t="s">
        <v>70</v>
      </c>
      <c r="J140" s="22" t="s">
        <v>99</v>
      </c>
      <c r="K140" s="54">
        <f t="shared" si="57"/>
        <v>4166.6666666666661</v>
      </c>
      <c r="L140" s="55">
        <f t="shared" si="57"/>
        <v>18249.999999999996</v>
      </c>
      <c r="M140" s="54">
        <f>$H$111*M111</f>
        <v>1.1666666666666667</v>
      </c>
      <c r="N140" s="55">
        <f>$H$111*N111</f>
        <v>5.1100000000000003</v>
      </c>
      <c r="O140" s="54">
        <f t="shared" si="58"/>
        <v>26.323333333333338</v>
      </c>
      <c r="P140" s="55">
        <f t="shared" si="58"/>
        <v>115.29620000000001</v>
      </c>
      <c r="Q140" s="54">
        <f t="shared" si="59"/>
        <v>4194.1566666666668</v>
      </c>
      <c r="R140" s="55">
        <f t="shared" si="55"/>
        <v>18370.406199999998</v>
      </c>
      <c r="S140" s="1" t="str">
        <f t="shared" si="56"/>
        <v/>
      </c>
    </row>
    <row r="141" spans="8:19" x14ac:dyDescent="0.2">
      <c r="H141" s="32"/>
      <c r="I141" s="33" t="s">
        <v>70</v>
      </c>
      <c r="J141" s="33" t="s">
        <v>100</v>
      </c>
      <c r="K141" s="56">
        <f t="shared" si="57"/>
        <v>4166.6666666666661</v>
      </c>
      <c r="L141" s="57">
        <f t="shared" si="57"/>
        <v>18249.999999999996</v>
      </c>
      <c r="M141" s="56">
        <f>$H$112*M112</f>
        <v>1.1666666666666667</v>
      </c>
      <c r="N141" s="57">
        <f>$H$112*N112</f>
        <v>5.1100000000000003</v>
      </c>
      <c r="O141" s="56">
        <f t="shared" si="58"/>
        <v>26.323333333333338</v>
      </c>
      <c r="P141" s="57">
        <f t="shared" si="58"/>
        <v>115.29620000000001</v>
      </c>
      <c r="Q141" s="56">
        <f t="shared" si="59"/>
        <v>4194.1566666666668</v>
      </c>
      <c r="R141" s="57">
        <f t="shared" si="55"/>
        <v>18370.406199999998</v>
      </c>
      <c r="S141" s="1" t="str">
        <f t="shared" si="56"/>
        <v/>
      </c>
    </row>
    <row r="142" spans="8:19" x14ac:dyDescent="0.2">
      <c r="H142" s="36"/>
      <c r="I142" s="37" t="s">
        <v>111</v>
      </c>
      <c r="J142" s="37" t="s">
        <v>92</v>
      </c>
      <c r="K142" s="58">
        <f t="shared" si="57"/>
        <v>4166.6666666666661</v>
      </c>
      <c r="L142" s="59">
        <f t="shared" si="57"/>
        <v>18249.999999999996</v>
      </c>
      <c r="M142" s="58">
        <f>$H$113*M113</f>
        <v>4.166666666666667</v>
      </c>
      <c r="N142" s="59">
        <f>$H$113*N113</f>
        <v>18.250000000000004</v>
      </c>
      <c r="O142" s="58">
        <f t="shared" si="58"/>
        <v>26.323333333333338</v>
      </c>
      <c r="P142" s="59">
        <f t="shared" si="58"/>
        <v>115.29620000000001</v>
      </c>
      <c r="Q142" s="58">
        <f t="shared" si="59"/>
        <v>4197.1566666666668</v>
      </c>
      <c r="R142" s="59">
        <f t="shared" si="55"/>
        <v>18383.546199999997</v>
      </c>
      <c r="S142" s="1" t="str">
        <f t="shared" si="56"/>
        <v/>
      </c>
    </row>
    <row r="143" spans="8:19" x14ac:dyDescent="0.2">
      <c r="H143" s="23"/>
      <c r="I143" s="22" t="s">
        <v>111</v>
      </c>
      <c r="J143" s="22" t="s">
        <v>97</v>
      </c>
      <c r="K143" s="54">
        <f t="shared" si="57"/>
        <v>4166.6666666666661</v>
      </c>
      <c r="L143" s="55">
        <f t="shared" si="57"/>
        <v>18249.999999999996</v>
      </c>
      <c r="M143" s="54">
        <f>$H$114*M114</f>
        <v>4.166666666666667</v>
      </c>
      <c r="N143" s="55">
        <f>$H$114*N114</f>
        <v>18.250000000000004</v>
      </c>
      <c r="O143" s="54">
        <f t="shared" si="58"/>
        <v>26.323333333333338</v>
      </c>
      <c r="P143" s="55">
        <f t="shared" si="58"/>
        <v>115.29620000000001</v>
      </c>
      <c r="Q143" s="54">
        <f t="shared" si="59"/>
        <v>4197.1566666666668</v>
      </c>
      <c r="R143" s="55">
        <f t="shared" si="55"/>
        <v>18383.546199999997</v>
      </c>
      <c r="S143" s="1" t="str">
        <f t="shared" si="56"/>
        <v/>
      </c>
    </row>
    <row r="144" spans="8:19" x14ac:dyDescent="0.2">
      <c r="H144" s="23"/>
      <c r="I144" s="22" t="s">
        <v>111</v>
      </c>
      <c r="J144" s="22" t="s">
        <v>133</v>
      </c>
      <c r="K144" s="54">
        <f>M$130</f>
        <v>3982.1428571428569</v>
      </c>
      <c r="L144" s="55">
        <f>N$130</f>
        <v>17441.785714285714</v>
      </c>
      <c r="M144" s="54">
        <f>$H$115*M115</f>
        <v>0.23214285714285715</v>
      </c>
      <c r="N144" s="55">
        <f>$H$115*N115</f>
        <v>1.0167857142857144</v>
      </c>
      <c r="O144" s="54">
        <f t="shared" ref="O144:P145" si="60">$H$125*M$125</f>
        <v>13.835714285714285</v>
      </c>
      <c r="P144" s="55">
        <f t="shared" si="60"/>
        <v>60.600428571428566</v>
      </c>
      <c r="Q144" s="54">
        <f t="shared" ref="Q144" si="61">K144+M144+O144</f>
        <v>3996.2107142857139</v>
      </c>
      <c r="R144" s="55">
        <f t="shared" ref="R144" si="62">L144+N144+P144</f>
        <v>17503.402928571428</v>
      </c>
      <c r="S144" s="1" t="str">
        <f t="shared" si="56"/>
        <v>Match</v>
      </c>
    </row>
    <row r="145" spans="8:19" x14ac:dyDescent="0.2">
      <c r="H145" s="23"/>
      <c r="I145" s="22" t="s">
        <v>111</v>
      </c>
      <c r="J145" s="22" t="s">
        <v>132</v>
      </c>
      <c r="K145" s="54">
        <f>M$129</f>
        <v>3839.2857142857147</v>
      </c>
      <c r="L145" s="55">
        <f>N$129</f>
        <v>16816.071428571428</v>
      </c>
      <c r="M145" s="54">
        <f>$H$115*M115</f>
        <v>0.23214285714285715</v>
      </c>
      <c r="N145" s="55">
        <f>$H$115*N115</f>
        <v>1.0167857142857144</v>
      </c>
      <c r="O145" s="54">
        <f t="shared" si="60"/>
        <v>13.835714285714285</v>
      </c>
      <c r="P145" s="55">
        <f t="shared" si="60"/>
        <v>60.600428571428566</v>
      </c>
      <c r="Q145" s="54">
        <f t="shared" si="59"/>
        <v>3853.3535714285717</v>
      </c>
      <c r="R145" s="55">
        <f t="shared" si="55"/>
        <v>16877.688642857142</v>
      </c>
      <c r="S145" s="1" t="str">
        <f t="shared" si="56"/>
        <v/>
      </c>
    </row>
    <row r="146" spans="8:19" x14ac:dyDescent="0.2">
      <c r="H146" s="32"/>
      <c r="I146" s="33" t="s">
        <v>111</v>
      </c>
      <c r="J146" s="33" t="s">
        <v>99</v>
      </c>
      <c r="K146" s="56">
        <f t="shared" ref="K146:L148" si="63">M$131</f>
        <v>4166.6666666666661</v>
      </c>
      <c r="L146" s="57">
        <f t="shared" si="63"/>
        <v>18249.999999999996</v>
      </c>
      <c r="M146" s="56">
        <f>$H$116*M116</f>
        <v>0.21666666666666665</v>
      </c>
      <c r="N146" s="57">
        <f>$H$116*N116</f>
        <v>0.94900000000000007</v>
      </c>
      <c r="O146" s="56">
        <f t="shared" ref="O146:P148" si="64">$H$124*M$124</f>
        <v>26.323333333333338</v>
      </c>
      <c r="P146" s="57">
        <f t="shared" si="64"/>
        <v>115.29620000000001</v>
      </c>
      <c r="Q146" s="56">
        <f t="shared" si="59"/>
        <v>4193.206666666666</v>
      </c>
      <c r="R146" s="57">
        <f t="shared" si="55"/>
        <v>18366.245199999998</v>
      </c>
      <c r="S146" s="1" t="str">
        <f t="shared" si="56"/>
        <v/>
      </c>
    </row>
    <row r="147" spans="8:19" x14ac:dyDescent="0.2">
      <c r="H147" s="36"/>
      <c r="I147" s="37" t="s">
        <v>123</v>
      </c>
      <c r="J147" s="37" t="s">
        <v>92</v>
      </c>
      <c r="K147" s="58">
        <f t="shared" si="63"/>
        <v>4166.6666666666661</v>
      </c>
      <c r="L147" s="59">
        <f t="shared" si="63"/>
        <v>18249.999999999996</v>
      </c>
      <c r="M147" s="58">
        <f>$H$117*M117</f>
        <v>1.9791666666666665</v>
      </c>
      <c r="N147" s="59">
        <f>$H$117*N117</f>
        <v>8.6687499999999993</v>
      </c>
      <c r="O147" s="58">
        <f t="shared" si="64"/>
        <v>26.323333333333338</v>
      </c>
      <c r="P147" s="59">
        <f t="shared" si="64"/>
        <v>115.29620000000001</v>
      </c>
      <c r="Q147" s="58">
        <f t="shared" si="59"/>
        <v>4194.9691666666668</v>
      </c>
      <c r="R147" s="59">
        <f t="shared" si="55"/>
        <v>18373.964949999998</v>
      </c>
      <c r="S147" s="1" t="str">
        <f t="shared" si="56"/>
        <v/>
      </c>
    </row>
    <row r="148" spans="8:19" x14ac:dyDescent="0.2">
      <c r="H148" s="23"/>
      <c r="I148" s="22" t="s">
        <v>123</v>
      </c>
      <c r="J148" s="22" t="s">
        <v>97</v>
      </c>
      <c r="K148" s="54">
        <f t="shared" si="63"/>
        <v>4166.6666666666661</v>
      </c>
      <c r="L148" s="55">
        <f t="shared" si="63"/>
        <v>18249.999999999996</v>
      </c>
      <c r="M148" s="54">
        <f>$H$118*M118</f>
        <v>1.9791666666666665</v>
      </c>
      <c r="N148" s="55">
        <f>$H$118*N118</f>
        <v>8.6687499999999993</v>
      </c>
      <c r="O148" s="54">
        <f t="shared" si="64"/>
        <v>26.323333333333338</v>
      </c>
      <c r="P148" s="55">
        <f t="shared" si="64"/>
        <v>115.29620000000001</v>
      </c>
      <c r="Q148" s="54">
        <f t="shared" si="59"/>
        <v>4194.9691666666668</v>
      </c>
      <c r="R148" s="55">
        <f t="shared" si="55"/>
        <v>18373.964949999998</v>
      </c>
      <c r="S148" s="1" t="str">
        <f t="shared" si="56"/>
        <v/>
      </c>
    </row>
    <row r="149" spans="8:19" x14ac:dyDescent="0.2">
      <c r="H149" s="23"/>
      <c r="I149" s="22" t="s">
        <v>123</v>
      </c>
      <c r="J149" s="22" t="s">
        <v>133</v>
      </c>
      <c r="K149" s="54">
        <f>M$130</f>
        <v>3982.1428571428569</v>
      </c>
      <c r="L149" s="55">
        <f>N$130</f>
        <v>17441.785714285714</v>
      </c>
      <c r="M149" s="54">
        <f>$H$119*M119</f>
        <v>0.96428571428571441</v>
      </c>
      <c r="N149" s="55">
        <f>$H$119*N119</f>
        <v>4.2235714285714288</v>
      </c>
      <c r="O149" s="54">
        <f>$H$125*M$125</f>
        <v>13.835714285714285</v>
      </c>
      <c r="P149" s="55">
        <f>$H$125*N$125</f>
        <v>60.600428571428566</v>
      </c>
      <c r="Q149" s="54">
        <f t="shared" ref="Q149" si="65">K149+M149+O149</f>
        <v>3996.9428571428571</v>
      </c>
      <c r="R149" s="55">
        <f t="shared" ref="R149" si="66">L149+N149+P149</f>
        <v>17506.609714285714</v>
      </c>
      <c r="S149" s="1" t="str">
        <f t="shared" si="56"/>
        <v/>
      </c>
    </row>
    <row r="150" spans="8:19" x14ac:dyDescent="0.2">
      <c r="H150" s="23"/>
      <c r="I150" s="22" t="s">
        <v>123</v>
      </c>
      <c r="J150" s="22" t="s">
        <v>132</v>
      </c>
      <c r="K150" s="54">
        <f>M$129</f>
        <v>3839.2857142857147</v>
      </c>
      <c r="L150" s="55">
        <f>N$129</f>
        <v>16816.071428571428</v>
      </c>
      <c r="M150" s="54">
        <f>$H$119*M119</f>
        <v>0.96428571428571441</v>
      </c>
      <c r="N150" s="55">
        <f>$H$119*N119</f>
        <v>4.2235714285714288</v>
      </c>
      <c r="O150" s="54">
        <f>$H$125*M$125</f>
        <v>13.835714285714285</v>
      </c>
      <c r="P150" s="55">
        <f>$H$125*N$125</f>
        <v>60.600428571428566</v>
      </c>
      <c r="Q150" s="54">
        <f t="shared" si="59"/>
        <v>3854.0857142857149</v>
      </c>
      <c r="R150" s="55">
        <f t="shared" si="55"/>
        <v>16880.895428571428</v>
      </c>
      <c r="S150" s="1" t="str">
        <f t="shared" si="56"/>
        <v/>
      </c>
    </row>
    <row r="151" spans="8:19" x14ac:dyDescent="0.2">
      <c r="H151" s="32"/>
      <c r="I151" s="33" t="s">
        <v>123</v>
      </c>
      <c r="J151" s="33" t="s">
        <v>99</v>
      </c>
      <c r="K151" s="56">
        <f>M$131</f>
        <v>4166.6666666666661</v>
      </c>
      <c r="L151" s="57">
        <f>N$131</f>
        <v>18249.999999999996</v>
      </c>
      <c r="M151" s="56">
        <f>$H$120*M120</f>
        <v>0.90000000000000013</v>
      </c>
      <c r="N151" s="57">
        <f>$H$120*N120</f>
        <v>3.9420000000000002</v>
      </c>
      <c r="O151" s="56">
        <f>$H$124*M$124</f>
        <v>26.323333333333338</v>
      </c>
      <c r="P151" s="57">
        <f>$H$124*N$124</f>
        <v>115.29620000000001</v>
      </c>
      <c r="Q151" s="56">
        <f t="shared" si="59"/>
        <v>4193.8899999999994</v>
      </c>
      <c r="R151" s="57">
        <f t="shared" si="55"/>
        <v>18369.238199999996</v>
      </c>
      <c r="S151" s="1" t="str">
        <f t="shared" si="56"/>
        <v/>
      </c>
    </row>
    <row r="152" spans="8:19" x14ac:dyDescent="0.2">
      <c r="H152" s="36"/>
      <c r="I152" s="37" t="s">
        <v>124</v>
      </c>
      <c r="J152" s="37" t="s">
        <v>135</v>
      </c>
      <c r="K152" s="58">
        <f>M$130</f>
        <v>3982.1428571428569</v>
      </c>
      <c r="L152" s="59">
        <f>N$130</f>
        <v>17441.785714285714</v>
      </c>
      <c r="M152" s="58">
        <f>$H$121*M121</f>
        <v>7.9464285714285712</v>
      </c>
      <c r="N152" s="59">
        <f>$H$121*N121</f>
        <v>34.80535714285714</v>
      </c>
      <c r="O152" s="58">
        <f>$H$126*M$126</f>
        <v>2.6607142857142856</v>
      </c>
      <c r="P152" s="59">
        <f>$H$126*N$126</f>
        <v>11.653928571428571</v>
      </c>
      <c r="Q152" s="58">
        <f t="shared" si="59"/>
        <v>3992.7499999999995</v>
      </c>
      <c r="R152" s="59">
        <f t="shared" si="55"/>
        <v>17488.244999999999</v>
      </c>
      <c r="S152" s="1" t="str">
        <f t="shared" si="56"/>
        <v/>
      </c>
    </row>
    <row r="153" spans="8:19" x14ac:dyDescent="0.2">
      <c r="H153" s="3"/>
      <c r="I153" s="53" t="s">
        <v>124</v>
      </c>
      <c r="J153" s="53" t="s">
        <v>136</v>
      </c>
      <c r="K153" s="54">
        <f>M$129</f>
        <v>3839.2857142857147</v>
      </c>
      <c r="L153" s="55">
        <f>N$129</f>
        <v>16816.071428571428</v>
      </c>
      <c r="M153" s="54">
        <f>$H$121*M121</f>
        <v>7.9464285714285712</v>
      </c>
      <c r="N153" s="55">
        <f>$H$121*N121</f>
        <v>34.80535714285714</v>
      </c>
      <c r="O153" s="54">
        <f>$H$126*M$126</f>
        <v>2.6607142857142856</v>
      </c>
      <c r="P153" s="55">
        <f>$H$126*N$126</f>
        <v>11.653928571428571</v>
      </c>
      <c r="Q153" s="54">
        <f t="shared" ref="Q153" si="67">K153+M153+O153</f>
        <v>3849.8928571428573</v>
      </c>
      <c r="R153" s="55">
        <f t="shared" ref="R153" si="68">L153+N153+P153</f>
        <v>16862.530714285713</v>
      </c>
      <c r="S153" s="1" t="str">
        <f t="shared" si="56"/>
        <v/>
      </c>
    </row>
    <row r="154" spans="8:19" x14ac:dyDescent="0.2">
      <c r="H154" s="23"/>
      <c r="I154" s="22"/>
      <c r="J154" s="22"/>
      <c r="K154" s="23"/>
      <c r="L154" s="24"/>
      <c r="M154" s="25"/>
      <c r="N154" s="25"/>
      <c r="O154" s="23"/>
    </row>
    <row r="155" spans="8:19" ht="13.5" thickBot="1" x14ac:dyDescent="0.25">
      <c r="H155" s="31" t="s">
        <v>138</v>
      </c>
      <c r="I155" s="31"/>
      <c r="J155" s="30" t="s">
        <v>127</v>
      </c>
      <c r="K155" s="30" t="s">
        <v>96</v>
      </c>
      <c r="L155" s="31" t="s">
        <v>75</v>
      </c>
      <c r="M155" s="31" t="s">
        <v>76</v>
      </c>
      <c r="N155" s="31" t="s">
        <v>77</v>
      </c>
      <c r="O155" s="30" t="s">
        <v>87</v>
      </c>
    </row>
    <row r="156" spans="8:19" x14ac:dyDescent="0.2">
      <c r="H156" s="23"/>
      <c r="I156" s="22"/>
      <c r="J156" s="22" t="s">
        <v>92</v>
      </c>
      <c r="K156" s="117">
        <v>1.2999999999999999E-3</v>
      </c>
      <c r="L156" s="28">
        <f t="shared" ref="L156:L160" si="69">$K156/$K$2</f>
        <v>8.6666666666666661E-6</v>
      </c>
      <c r="M156" s="25">
        <f t="shared" ref="M156:M161" si="70">$L156*$B$3</f>
        <v>2.1666666666666666E-4</v>
      </c>
      <c r="N156" s="25">
        <f>$M156*$B$4/2000</f>
        <v>9.4899999999999997E-4</v>
      </c>
      <c r="O156" s="23" t="str">
        <f>IF($E$29=N156,"Match","")</f>
        <v/>
      </c>
    </row>
    <row r="157" spans="8:19" x14ac:dyDescent="0.2">
      <c r="H157" s="23"/>
      <c r="I157" s="22"/>
      <c r="J157" s="22" t="s">
        <v>103</v>
      </c>
      <c r="K157" s="117">
        <v>3.3E-3</v>
      </c>
      <c r="L157" s="28">
        <f>$K157/$K$1</f>
        <v>2.3571428571428571E-5</v>
      </c>
      <c r="M157" s="25">
        <f t="shared" si="70"/>
        <v>5.8928571428571428E-4</v>
      </c>
      <c r="N157" s="25">
        <f>$M157*$B$4/2000</f>
        <v>2.5810714285714287E-3</v>
      </c>
      <c r="O157" s="23" t="str">
        <f>IF($E$29=N157,"Match","")</f>
        <v>Match</v>
      </c>
    </row>
    <row r="158" spans="8:19" x14ac:dyDescent="0.2">
      <c r="H158" s="23"/>
      <c r="I158" s="22"/>
      <c r="J158" s="22"/>
      <c r="K158" s="23"/>
      <c r="L158" s="24"/>
      <c r="M158" s="25"/>
      <c r="N158" s="25"/>
      <c r="O158" s="23"/>
    </row>
    <row r="159" spans="8:19" ht="13.5" thickBot="1" x14ac:dyDescent="0.25">
      <c r="H159" s="31" t="s">
        <v>20</v>
      </c>
      <c r="I159" s="31"/>
      <c r="J159" s="30" t="s">
        <v>127</v>
      </c>
      <c r="K159" s="30" t="s">
        <v>96</v>
      </c>
      <c r="L159" s="31" t="s">
        <v>75</v>
      </c>
      <c r="M159" s="31" t="s">
        <v>76</v>
      </c>
      <c r="N159" s="31" t="s">
        <v>77</v>
      </c>
      <c r="O159" s="30" t="s">
        <v>87</v>
      </c>
    </row>
    <row r="160" spans="8:19" x14ac:dyDescent="0.2">
      <c r="H160" s="23"/>
      <c r="I160" s="22"/>
      <c r="J160" s="22" t="s">
        <v>92</v>
      </c>
      <c r="K160" s="117">
        <v>6.0999999999999999E-2</v>
      </c>
      <c r="L160" s="28">
        <f t="shared" si="69"/>
        <v>4.0666666666666667E-4</v>
      </c>
      <c r="M160" s="25">
        <f t="shared" si="70"/>
        <v>1.0166666666666666E-2</v>
      </c>
      <c r="N160" s="25">
        <f>$M160*$B$4/2000</f>
        <v>4.4529999999999993E-2</v>
      </c>
      <c r="O160" s="23" t="str">
        <f>IF($E$30=N160,"Match","")</f>
        <v/>
      </c>
    </row>
    <row r="161" spans="8:19" x14ac:dyDescent="0.2">
      <c r="H161" s="23"/>
      <c r="I161" s="22"/>
      <c r="J161" s="22" t="s">
        <v>103</v>
      </c>
      <c r="K161" s="117">
        <v>6.0999999999999999E-2</v>
      </c>
      <c r="L161" s="28">
        <f>$K161/$K$1</f>
        <v>4.357142857142857E-4</v>
      </c>
      <c r="M161" s="25">
        <f t="shared" si="70"/>
        <v>1.0892857142857142E-2</v>
      </c>
      <c r="N161" s="25">
        <f>$M161*$B$4/2000</f>
        <v>4.771071428571428E-2</v>
      </c>
      <c r="O161" s="23" t="str">
        <f>IF($E$30=N161,"Match","")</f>
        <v>Match</v>
      </c>
    </row>
    <row r="162" spans="8:19" x14ac:dyDescent="0.2">
      <c r="H162" s="23"/>
      <c r="I162" s="22"/>
      <c r="J162" s="22"/>
      <c r="K162" s="23"/>
      <c r="L162" s="24"/>
      <c r="M162" s="25"/>
      <c r="N162" s="25"/>
      <c r="O162" s="23"/>
    </row>
    <row r="163" spans="8:19" x14ac:dyDescent="0.2">
      <c r="H163" s="23"/>
      <c r="I163" s="22"/>
      <c r="J163" s="22"/>
      <c r="K163" s="23"/>
      <c r="L163" s="146" t="s">
        <v>140</v>
      </c>
      <c r="M163" s="147"/>
      <c r="N163" s="147"/>
      <c r="O163" s="148"/>
      <c r="P163" s="146" t="s">
        <v>141</v>
      </c>
      <c r="Q163" s="147"/>
      <c r="R163" s="147"/>
      <c r="S163" s="148"/>
    </row>
    <row r="164" spans="8:19" ht="13.5" thickBot="1" x14ac:dyDescent="0.25">
      <c r="H164" s="30" t="s">
        <v>84</v>
      </c>
      <c r="I164" s="30"/>
      <c r="J164" s="30" t="s">
        <v>139</v>
      </c>
      <c r="K164" s="30" t="s">
        <v>96</v>
      </c>
      <c r="L164" s="45" t="s">
        <v>75</v>
      </c>
      <c r="M164" s="31" t="s">
        <v>76</v>
      </c>
      <c r="N164" s="31" t="s">
        <v>77</v>
      </c>
      <c r="O164" s="61" t="s">
        <v>87</v>
      </c>
      <c r="P164" s="45" t="s">
        <v>75</v>
      </c>
      <c r="Q164" s="31" t="s">
        <v>76</v>
      </c>
      <c r="R164" s="31" t="s">
        <v>77</v>
      </c>
      <c r="S164" s="61" t="s">
        <v>87</v>
      </c>
    </row>
    <row r="165" spans="8:19" x14ac:dyDescent="0.2">
      <c r="I165" s="19"/>
      <c r="J165" s="1" t="s">
        <v>14</v>
      </c>
      <c r="K165" s="121">
        <v>2.14E-4</v>
      </c>
      <c r="L165" s="62">
        <f t="shared" ref="L165:L184" si="71">$K165/$K$2</f>
        <v>1.4266666666666666E-6</v>
      </c>
      <c r="M165" s="63">
        <f t="shared" ref="M165" si="72">$L165*$B$3</f>
        <v>3.5666666666666669E-5</v>
      </c>
      <c r="N165" s="63">
        <f>$M165*$B$4/2000</f>
        <v>1.5621999999999999E-4</v>
      </c>
      <c r="O165" s="60" t="str">
        <f t="shared" ref="O165:O184" si="73">IF($E31=N165,"Match","")</f>
        <v/>
      </c>
      <c r="P165" s="62">
        <f t="shared" ref="P165:P184" si="74">$K165/$K$1</f>
        <v>1.5285714285714285E-6</v>
      </c>
      <c r="Q165" s="63">
        <f>$P165*$B$3</f>
        <v>3.821428571428571E-5</v>
      </c>
      <c r="R165" s="63">
        <f>$Q165*$B$4/2000</f>
        <v>1.6737857142857141E-4</v>
      </c>
      <c r="S165" s="60" t="str">
        <f t="shared" ref="S165:S184" si="75">IF($E31=R165,"Match","")</f>
        <v>Match</v>
      </c>
    </row>
    <row r="166" spans="8:19" x14ac:dyDescent="0.2">
      <c r="J166" s="1" t="s">
        <v>36</v>
      </c>
      <c r="K166" s="121">
        <v>6.3600000000000001E-5</v>
      </c>
      <c r="L166" s="62">
        <f t="shared" si="71"/>
        <v>4.2399999999999999E-7</v>
      </c>
      <c r="M166" s="63">
        <f t="shared" ref="M166:M184" si="76">$L166*$B$3</f>
        <v>1.06E-5</v>
      </c>
      <c r="N166" s="63">
        <f t="shared" ref="N166:N184" si="77">$M166*$B$4/2000</f>
        <v>4.6428000000000003E-5</v>
      </c>
      <c r="O166" s="60" t="str">
        <f t="shared" si="73"/>
        <v/>
      </c>
      <c r="P166" s="62">
        <f t="shared" si="74"/>
        <v>4.5428571428571432E-7</v>
      </c>
      <c r="Q166" s="63">
        <f t="shared" ref="Q166:Q184" si="78">$P166*$B$3</f>
        <v>1.1357142857142858E-5</v>
      </c>
      <c r="R166" s="63">
        <f t="shared" ref="R166:R184" si="79">$Q166*$B$4/2000</f>
        <v>4.9744285714285723E-5</v>
      </c>
      <c r="S166" s="60" t="str">
        <f t="shared" si="75"/>
        <v>Match</v>
      </c>
    </row>
    <row r="167" spans="8:19" x14ac:dyDescent="0.2">
      <c r="J167" s="1" t="s">
        <v>22</v>
      </c>
      <c r="K167" s="121">
        <v>1.1299999999999999E-3</v>
      </c>
      <c r="L167" s="62">
        <f t="shared" si="71"/>
        <v>7.5333333333333329E-6</v>
      </c>
      <c r="M167" s="63">
        <f t="shared" si="76"/>
        <v>1.8833333333333332E-4</v>
      </c>
      <c r="N167" s="63">
        <f t="shared" si="77"/>
        <v>8.2489999999999994E-4</v>
      </c>
      <c r="O167" s="60" t="str">
        <f t="shared" si="73"/>
        <v/>
      </c>
      <c r="P167" s="62">
        <f t="shared" si="74"/>
        <v>8.0714285714285706E-6</v>
      </c>
      <c r="Q167" s="63">
        <f t="shared" si="78"/>
        <v>2.0178571428571427E-4</v>
      </c>
      <c r="R167" s="63">
        <f t="shared" si="79"/>
        <v>8.8382142857142858E-4</v>
      </c>
      <c r="S167" s="60" t="str">
        <f t="shared" si="75"/>
        <v>Match</v>
      </c>
    </row>
    <row r="168" spans="8:19" x14ac:dyDescent="0.2">
      <c r="J168" s="1" t="s">
        <v>37</v>
      </c>
      <c r="K168" s="121">
        <v>2.3599999999999999E-4</v>
      </c>
      <c r="L168" s="62">
        <f t="shared" si="71"/>
        <v>1.5733333333333332E-6</v>
      </c>
      <c r="M168" s="63">
        <f t="shared" si="76"/>
        <v>3.9333333333333332E-5</v>
      </c>
      <c r="N168" s="63">
        <f t="shared" si="77"/>
        <v>1.7228E-4</v>
      </c>
      <c r="O168" s="60" t="str">
        <f t="shared" si="73"/>
        <v/>
      </c>
      <c r="P168" s="62">
        <f t="shared" si="74"/>
        <v>1.6857142857142856E-6</v>
      </c>
      <c r="Q168" s="63">
        <f t="shared" si="78"/>
        <v>4.2142857142857136E-5</v>
      </c>
      <c r="R168" s="63">
        <f t="shared" si="79"/>
        <v>1.8458571428571426E-4</v>
      </c>
      <c r="S168" s="60" t="str">
        <f t="shared" si="75"/>
        <v>Match</v>
      </c>
    </row>
    <row r="169" spans="8:19" x14ac:dyDescent="0.2">
      <c r="J169" s="1" t="s">
        <v>25</v>
      </c>
      <c r="K169" s="121">
        <v>6.1999999999999998E-3</v>
      </c>
      <c r="L169" s="62">
        <f t="shared" si="71"/>
        <v>4.1333333333333333E-5</v>
      </c>
      <c r="M169" s="63">
        <f t="shared" si="76"/>
        <v>1.0333333333333334E-3</v>
      </c>
      <c r="N169" s="63">
        <f t="shared" si="77"/>
        <v>4.5259999999999996E-3</v>
      </c>
      <c r="O169" s="60" t="str">
        <f t="shared" si="73"/>
        <v/>
      </c>
      <c r="P169" s="62">
        <f t="shared" si="74"/>
        <v>4.4285714285714283E-5</v>
      </c>
      <c r="Q169" s="63">
        <f t="shared" si="78"/>
        <v>1.1071428571428571E-3</v>
      </c>
      <c r="R169" s="63">
        <f t="shared" si="79"/>
        <v>4.849285714285714E-3</v>
      </c>
      <c r="S169" s="60" t="str">
        <f t="shared" si="75"/>
        <v>Match</v>
      </c>
    </row>
    <row r="170" spans="8:19" x14ac:dyDescent="0.2">
      <c r="J170" s="1" t="s">
        <v>38</v>
      </c>
      <c r="K170" s="121">
        <v>1.0900000000000001E-4</v>
      </c>
      <c r="L170" s="62">
        <f t="shared" si="71"/>
        <v>7.2666666666666666E-7</v>
      </c>
      <c r="M170" s="63">
        <f t="shared" si="76"/>
        <v>1.8166666666666667E-5</v>
      </c>
      <c r="N170" s="63">
        <f t="shared" si="77"/>
        <v>7.9569999999999999E-5</v>
      </c>
      <c r="O170" s="60" t="str">
        <f t="shared" si="73"/>
        <v/>
      </c>
      <c r="P170" s="62">
        <f t="shared" si="74"/>
        <v>7.785714285714286E-7</v>
      </c>
      <c r="Q170" s="63">
        <f t="shared" si="78"/>
        <v>1.9464285714285715E-5</v>
      </c>
      <c r="R170" s="63">
        <f t="shared" si="79"/>
        <v>8.5253571428571431E-5</v>
      </c>
      <c r="S170" s="60" t="str">
        <f t="shared" si="75"/>
        <v>Match</v>
      </c>
    </row>
    <row r="171" spans="8:19" x14ac:dyDescent="0.2">
      <c r="J171" s="1" t="s">
        <v>10</v>
      </c>
      <c r="K171" s="121">
        <v>2.1100000000000001E-5</v>
      </c>
      <c r="L171" s="62">
        <f t="shared" si="71"/>
        <v>1.4066666666666668E-7</v>
      </c>
      <c r="M171" s="63">
        <f t="shared" si="76"/>
        <v>3.5166666666666672E-6</v>
      </c>
      <c r="N171" s="63">
        <f t="shared" si="77"/>
        <v>1.5403000000000001E-5</v>
      </c>
      <c r="O171" s="60" t="str">
        <f t="shared" si="73"/>
        <v/>
      </c>
      <c r="P171" s="62">
        <f t="shared" si="74"/>
        <v>1.5071428571428572E-7</v>
      </c>
      <c r="Q171" s="63">
        <f t="shared" si="78"/>
        <v>3.7678571428571428E-6</v>
      </c>
      <c r="R171" s="63">
        <f t="shared" si="79"/>
        <v>1.6503214285714286E-5</v>
      </c>
      <c r="S171" s="60" t="str">
        <f t="shared" si="75"/>
        <v>Match</v>
      </c>
    </row>
    <row r="172" spans="8:19" x14ac:dyDescent="0.2">
      <c r="J172" s="1" t="s">
        <v>11</v>
      </c>
      <c r="K172" s="121">
        <v>2.53E-7</v>
      </c>
      <c r="L172" s="62">
        <f t="shared" si="71"/>
        <v>1.6866666666666666E-9</v>
      </c>
      <c r="M172" s="63">
        <f t="shared" si="76"/>
        <v>4.2166666666666667E-8</v>
      </c>
      <c r="N172" s="63">
        <f t="shared" si="77"/>
        <v>1.8468999999999999E-7</v>
      </c>
      <c r="O172" s="60" t="str">
        <f t="shared" si="73"/>
        <v/>
      </c>
      <c r="P172" s="62">
        <f t="shared" si="74"/>
        <v>1.8071428571428571E-9</v>
      </c>
      <c r="Q172" s="63">
        <f t="shared" si="78"/>
        <v>4.517857142857143E-8</v>
      </c>
      <c r="R172" s="63">
        <f t="shared" si="79"/>
        <v>1.9788214285714285E-7</v>
      </c>
      <c r="S172" s="60" t="str">
        <f t="shared" si="75"/>
        <v>Match</v>
      </c>
    </row>
    <row r="173" spans="8:19" x14ac:dyDescent="0.2">
      <c r="J173" s="1" t="s">
        <v>12</v>
      </c>
      <c r="K173" s="121">
        <v>1.22E-6</v>
      </c>
      <c r="L173" s="62">
        <f t="shared" si="71"/>
        <v>8.1333333333333334E-9</v>
      </c>
      <c r="M173" s="63">
        <f t="shared" si="76"/>
        <v>2.0333333333333333E-7</v>
      </c>
      <c r="N173" s="63">
        <f t="shared" si="77"/>
        <v>8.9059999999999999E-7</v>
      </c>
      <c r="O173" s="60" t="str">
        <f t="shared" si="73"/>
        <v/>
      </c>
      <c r="P173" s="62">
        <f t="shared" si="74"/>
        <v>8.7142857142857148E-9</v>
      </c>
      <c r="Q173" s="63">
        <f t="shared" si="78"/>
        <v>2.1785714285714287E-7</v>
      </c>
      <c r="R173" s="63">
        <f t="shared" si="79"/>
        <v>9.5421428571428568E-7</v>
      </c>
      <c r="S173" s="60" t="str">
        <f t="shared" si="75"/>
        <v>Match</v>
      </c>
    </row>
    <row r="174" spans="8:19" x14ac:dyDescent="0.2">
      <c r="J174" s="1" t="s">
        <v>13</v>
      </c>
      <c r="K174" s="121">
        <v>4.0099999999999997E-6</v>
      </c>
      <c r="L174" s="62">
        <f t="shared" si="71"/>
        <v>2.6733333333333331E-8</v>
      </c>
      <c r="M174" s="63">
        <f t="shared" si="76"/>
        <v>6.6833333333333332E-7</v>
      </c>
      <c r="N174" s="63">
        <f t="shared" si="77"/>
        <v>2.9272999999999999E-6</v>
      </c>
      <c r="O174" s="60" t="str">
        <f t="shared" si="73"/>
        <v/>
      </c>
      <c r="P174" s="62">
        <f t="shared" si="74"/>
        <v>2.864285714285714E-8</v>
      </c>
      <c r="Q174" s="63">
        <f t="shared" si="78"/>
        <v>7.1607142857142846E-7</v>
      </c>
      <c r="R174" s="63">
        <f t="shared" si="79"/>
        <v>3.1363928571428567E-6</v>
      </c>
      <c r="S174" s="60" t="str">
        <f t="shared" si="75"/>
        <v>Match</v>
      </c>
    </row>
    <row r="175" spans="8:19" x14ac:dyDescent="0.2">
      <c r="J175" s="1" t="s">
        <v>39</v>
      </c>
      <c r="K175" s="121">
        <v>1.48E-6</v>
      </c>
      <c r="L175" s="62">
        <f t="shared" si="71"/>
        <v>9.8666666666666673E-9</v>
      </c>
      <c r="M175" s="63">
        <f t="shared" si="76"/>
        <v>2.466666666666667E-7</v>
      </c>
      <c r="N175" s="63">
        <f t="shared" si="77"/>
        <v>1.0804000000000003E-6</v>
      </c>
      <c r="O175" s="60" t="str">
        <f t="shared" si="73"/>
        <v/>
      </c>
      <c r="P175" s="62">
        <f t="shared" si="74"/>
        <v>1.0571428571428571E-8</v>
      </c>
      <c r="Q175" s="63">
        <f t="shared" si="78"/>
        <v>2.6428571428571428E-7</v>
      </c>
      <c r="R175" s="63">
        <f t="shared" si="79"/>
        <v>1.1575714285714286E-6</v>
      </c>
      <c r="S175" s="60" t="str">
        <f t="shared" si="75"/>
        <v>Match</v>
      </c>
    </row>
    <row r="176" spans="8:19" x14ac:dyDescent="0.2">
      <c r="J176" s="1" t="s">
        <v>15</v>
      </c>
      <c r="K176" s="121">
        <v>2.26E-6</v>
      </c>
      <c r="L176" s="62">
        <f t="shared" si="71"/>
        <v>1.5066666666666666E-8</v>
      </c>
      <c r="M176" s="63">
        <f t="shared" si="76"/>
        <v>3.7666666666666662E-7</v>
      </c>
      <c r="N176" s="63">
        <f t="shared" si="77"/>
        <v>1.6497999999999999E-6</v>
      </c>
      <c r="O176" s="60" t="str">
        <f t="shared" si="73"/>
        <v/>
      </c>
      <c r="P176" s="62">
        <f t="shared" si="74"/>
        <v>1.6142857142857144E-8</v>
      </c>
      <c r="Q176" s="63">
        <f t="shared" si="78"/>
        <v>4.0357142857142859E-7</v>
      </c>
      <c r="R176" s="63">
        <f t="shared" si="79"/>
        <v>1.7676428571428571E-6</v>
      </c>
      <c r="S176" s="60" t="str">
        <f t="shared" si="75"/>
        <v>Match</v>
      </c>
    </row>
    <row r="177" spans="8:19" x14ac:dyDescent="0.2">
      <c r="J177" s="1" t="s">
        <v>16</v>
      </c>
      <c r="K177" s="121">
        <v>2.3800000000000001E-6</v>
      </c>
      <c r="L177" s="62">
        <f t="shared" si="71"/>
        <v>1.5866666666666666E-8</v>
      </c>
      <c r="M177" s="63">
        <f t="shared" si="76"/>
        <v>3.9666666666666665E-7</v>
      </c>
      <c r="N177" s="63">
        <f t="shared" si="77"/>
        <v>1.7373999999999999E-6</v>
      </c>
      <c r="O177" s="60" t="str">
        <f t="shared" si="73"/>
        <v/>
      </c>
      <c r="P177" s="62">
        <f t="shared" si="74"/>
        <v>1.7E-8</v>
      </c>
      <c r="Q177" s="63">
        <f t="shared" si="78"/>
        <v>4.2500000000000001E-7</v>
      </c>
      <c r="R177" s="63">
        <f t="shared" si="79"/>
        <v>1.8615000000000001E-6</v>
      </c>
      <c r="S177" s="60" t="str">
        <f t="shared" si="75"/>
        <v>Match</v>
      </c>
    </row>
    <row r="178" spans="8:19" x14ac:dyDescent="0.2">
      <c r="J178" s="1" t="s">
        <v>17</v>
      </c>
      <c r="K178" s="121">
        <v>1.6700000000000001E-6</v>
      </c>
      <c r="L178" s="62">
        <f t="shared" si="71"/>
        <v>1.1133333333333334E-8</v>
      </c>
      <c r="M178" s="63">
        <f t="shared" si="76"/>
        <v>2.7833333333333335E-7</v>
      </c>
      <c r="N178" s="63">
        <f t="shared" si="77"/>
        <v>1.2191000000000001E-6</v>
      </c>
      <c r="O178" s="60" t="str">
        <f t="shared" si="73"/>
        <v/>
      </c>
      <c r="P178" s="62">
        <f t="shared" si="74"/>
        <v>1.192857142857143E-8</v>
      </c>
      <c r="Q178" s="63">
        <f t="shared" si="78"/>
        <v>2.9821428571428573E-7</v>
      </c>
      <c r="R178" s="63">
        <f t="shared" si="79"/>
        <v>1.3061785714285713E-6</v>
      </c>
      <c r="S178" s="60" t="str">
        <f t="shared" si="75"/>
        <v>Match</v>
      </c>
    </row>
    <row r="179" spans="8:19" x14ac:dyDescent="0.2">
      <c r="J179" s="1" t="s">
        <v>18</v>
      </c>
      <c r="K179" s="121">
        <v>4.8400000000000002E-6</v>
      </c>
      <c r="L179" s="62">
        <f t="shared" si="71"/>
        <v>3.2266666666666671E-8</v>
      </c>
      <c r="M179" s="63">
        <f t="shared" si="76"/>
        <v>8.0666666666666674E-7</v>
      </c>
      <c r="N179" s="63">
        <f t="shared" si="77"/>
        <v>3.5332000000000003E-6</v>
      </c>
      <c r="O179" s="60" t="str">
        <f t="shared" si="73"/>
        <v/>
      </c>
      <c r="P179" s="62">
        <f t="shared" si="74"/>
        <v>3.4571428571428573E-8</v>
      </c>
      <c r="Q179" s="63">
        <f t="shared" si="78"/>
        <v>8.6428571428571436E-7</v>
      </c>
      <c r="R179" s="63">
        <f t="shared" si="79"/>
        <v>3.7855714285714291E-6</v>
      </c>
      <c r="S179" s="60" t="str">
        <f t="shared" si="75"/>
        <v>Match</v>
      </c>
    </row>
    <row r="180" spans="8:19" x14ac:dyDescent="0.2">
      <c r="J180" s="1" t="s">
        <v>19</v>
      </c>
      <c r="K180" s="121">
        <v>4.4700000000000004E-6</v>
      </c>
      <c r="L180" s="62">
        <f t="shared" si="71"/>
        <v>2.9800000000000002E-8</v>
      </c>
      <c r="M180" s="63">
        <f t="shared" si="76"/>
        <v>7.4500000000000007E-7</v>
      </c>
      <c r="N180" s="63">
        <f t="shared" si="77"/>
        <v>3.2631000000000001E-6</v>
      </c>
      <c r="O180" s="60" t="str">
        <f t="shared" si="73"/>
        <v/>
      </c>
      <c r="P180" s="62">
        <f t="shared" si="74"/>
        <v>3.1928571428571434E-8</v>
      </c>
      <c r="Q180" s="63">
        <f t="shared" si="78"/>
        <v>7.9821428571428582E-7</v>
      </c>
      <c r="R180" s="63">
        <f t="shared" si="79"/>
        <v>3.496178571428572E-6</v>
      </c>
      <c r="S180" s="60" t="str">
        <f t="shared" si="75"/>
        <v>Match</v>
      </c>
    </row>
    <row r="181" spans="8:19" x14ac:dyDescent="0.2">
      <c r="J181" s="1" t="s">
        <v>21</v>
      </c>
      <c r="K181" s="121">
        <v>2.1399999999999998E-6</v>
      </c>
      <c r="L181" s="62">
        <f t="shared" si="71"/>
        <v>1.4266666666666665E-8</v>
      </c>
      <c r="M181" s="63">
        <f t="shared" si="76"/>
        <v>3.5666666666666666E-7</v>
      </c>
      <c r="N181" s="63">
        <f t="shared" si="77"/>
        <v>1.5621999999999998E-6</v>
      </c>
      <c r="O181" s="60" t="str">
        <f t="shared" si="73"/>
        <v/>
      </c>
      <c r="P181" s="62">
        <f t="shared" si="74"/>
        <v>1.5285714285714285E-8</v>
      </c>
      <c r="Q181" s="63">
        <f t="shared" si="78"/>
        <v>3.8214285714285713E-7</v>
      </c>
      <c r="R181" s="63">
        <f t="shared" si="79"/>
        <v>1.6737857142857142E-6</v>
      </c>
      <c r="S181" s="60" t="str">
        <f t="shared" si="75"/>
        <v>Match</v>
      </c>
    </row>
    <row r="182" spans="8:19" x14ac:dyDescent="0.2">
      <c r="J182" s="1" t="s">
        <v>23</v>
      </c>
      <c r="K182" s="121">
        <v>1.0499999999999999E-5</v>
      </c>
      <c r="L182" s="62">
        <f t="shared" si="71"/>
        <v>6.9999999999999992E-8</v>
      </c>
      <c r="M182" s="63">
        <f t="shared" si="76"/>
        <v>1.7499999999999998E-6</v>
      </c>
      <c r="N182" s="63">
        <f t="shared" si="77"/>
        <v>7.6649999999999986E-6</v>
      </c>
      <c r="O182" s="60" t="str">
        <f t="shared" si="73"/>
        <v/>
      </c>
      <c r="P182" s="62">
        <f t="shared" si="74"/>
        <v>7.4999999999999997E-8</v>
      </c>
      <c r="Q182" s="63">
        <f t="shared" si="78"/>
        <v>1.8749999999999998E-6</v>
      </c>
      <c r="R182" s="63">
        <f t="shared" si="79"/>
        <v>8.2124999999999997E-6</v>
      </c>
      <c r="S182" s="60" t="str">
        <f t="shared" si="75"/>
        <v>Match</v>
      </c>
    </row>
    <row r="183" spans="8:19" x14ac:dyDescent="0.2">
      <c r="J183" s="1" t="s">
        <v>24</v>
      </c>
      <c r="K183" s="121">
        <v>4.25E-6</v>
      </c>
      <c r="L183" s="62">
        <f t="shared" si="71"/>
        <v>2.8333333333333332E-8</v>
      </c>
      <c r="M183" s="63">
        <f t="shared" si="76"/>
        <v>7.0833333333333326E-7</v>
      </c>
      <c r="N183" s="63">
        <f t="shared" si="77"/>
        <v>3.1024999999999999E-6</v>
      </c>
      <c r="O183" s="60" t="str">
        <f t="shared" si="73"/>
        <v/>
      </c>
      <c r="P183" s="62">
        <f t="shared" si="74"/>
        <v>3.0357142857142859E-8</v>
      </c>
      <c r="Q183" s="63">
        <f t="shared" si="78"/>
        <v>7.589285714285715E-7</v>
      </c>
      <c r="R183" s="63">
        <f t="shared" si="79"/>
        <v>3.3241071428571431E-6</v>
      </c>
      <c r="S183" s="60" t="str">
        <f t="shared" si="75"/>
        <v>Match</v>
      </c>
    </row>
    <row r="184" spans="8:19" x14ac:dyDescent="0.2">
      <c r="J184" s="1" t="s">
        <v>40</v>
      </c>
      <c r="K184" s="121">
        <v>3.1E-9</v>
      </c>
      <c r="L184" s="62">
        <f t="shared" si="71"/>
        <v>2.0666666666666666E-11</v>
      </c>
      <c r="M184" s="63">
        <f t="shared" si="76"/>
        <v>5.1666666666666664E-10</v>
      </c>
      <c r="N184" s="63">
        <f t="shared" si="77"/>
        <v>2.2629999999999997E-9</v>
      </c>
      <c r="O184" s="60" t="str">
        <f t="shared" si="73"/>
        <v/>
      </c>
      <c r="P184" s="62">
        <f t="shared" si="74"/>
        <v>2.2142857142857144E-11</v>
      </c>
      <c r="Q184" s="63">
        <f t="shared" si="78"/>
        <v>5.5357142857142862E-10</v>
      </c>
      <c r="R184" s="63">
        <f t="shared" si="79"/>
        <v>2.4246428571428577E-9</v>
      </c>
      <c r="S184" s="60" t="str">
        <f t="shared" si="75"/>
        <v>Match</v>
      </c>
    </row>
    <row r="186" spans="8:19" x14ac:dyDescent="0.2">
      <c r="P186" s="146" t="s">
        <v>141</v>
      </c>
      <c r="Q186" s="147"/>
      <c r="R186" s="147"/>
      <c r="S186" s="148"/>
    </row>
    <row r="187" spans="8:19" ht="13.5" thickBot="1" x14ac:dyDescent="0.25">
      <c r="H187" s="30" t="s">
        <v>85</v>
      </c>
      <c r="I187" s="30"/>
      <c r="J187" s="30" t="s">
        <v>143</v>
      </c>
      <c r="K187" s="30" t="s">
        <v>144</v>
      </c>
      <c r="L187" s="30" t="s">
        <v>96</v>
      </c>
      <c r="M187" s="30"/>
      <c r="N187" s="30"/>
      <c r="O187" s="30"/>
      <c r="P187" s="45" t="s">
        <v>75</v>
      </c>
      <c r="Q187" s="31" t="s">
        <v>76</v>
      </c>
      <c r="R187" s="31" t="s">
        <v>77</v>
      </c>
      <c r="S187" s="61" t="s">
        <v>87</v>
      </c>
    </row>
    <row r="188" spans="8:19" x14ac:dyDescent="0.2">
      <c r="H188" s="29"/>
      <c r="I188" s="29"/>
      <c r="J188" s="29" t="s">
        <v>26</v>
      </c>
      <c r="K188" s="125">
        <v>4</v>
      </c>
      <c r="L188" s="27">
        <f>P188*$K$1</f>
        <v>5.5999999999999995E-4</v>
      </c>
      <c r="P188" s="62">
        <f>K188/1000000</f>
        <v>3.9999999999999998E-6</v>
      </c>
      <c r="Q188" s="63">
        <f t="shared" ref="Q188:Q196" si="80">$P188*$B$3</f>
        <v>9.9999999999999991E-5</v>
      </c>
      <c r="R188" s="63">
        <f t="shared" ref="R188:R196" si="81">$Q188*$B$4/2000</f>
        <v>4.3799999999999997E-4</v>
      </c>
      <c r="S188" s="60" t="str">
        <f>IF($E52=R188,"Match","")</f>
        <v>Match</v>
      </c>
    </row>
    <row r="189" spans="8:19" x14ac:dyDescent="0.2">
      <c r="H189" s="29"/>
      <c r="I189" s="29"/>
      <c r="J189" s="29" t="s">
        <v>27</v>
      </c>
      <c r="K189" s="125">
        <v>3</v>
      </c>
      <c r="L189" s="27">
        <f t="shared" ref="L189:L196" si="82">P189*$K$1</f>
        <v>4.2000000000000002E-4</v>
      </c>
      <c r="P189" s="62">
        <f t="shared" ref="P189:P196" si="83">K189/1000000</f>
        <v>3.0000000000000001E-6</v>
      </c>
      <c r="Q189" s="63">
        <f t="shared" si="80"/>
        <v>7.5000000000000007E-5</v>
      </c>
      <c r="R189" s="63">
        <f t="shared" si="81"/>
        <v>3.2850000000000002E-4</v>
      </c>
      <c r="S189" s="60" t="str">
        <f>IF($E53=R189,"Match","")</f>
        <v>Match</v>
      </c>
    </row>
    <row r="190" spans="8:19" x14ac:dyDescent="0.2">
      <c r="H190" s="29"/>
      <c r="I190" s="29"/>
      <c r="J190" s="29" t="s">
        <v>28</v>
      </c>
      <c r="K190" s="125">
        <v>3</v>
      </c>
      <c r="L190" s="27">
        <f t="shared" si="82"/>
        <v>4.2000000000000002E-4</v>
      </c>
      <c r="P190" s="62">
        <f t="shared" si="83"/>
        <v>3.0000000000000001E-6</v>
      </c>
      <c r="Q190" s="63">
        <f t="shared" si="80"/>
        <v>7.5000000000000007E-5</v>
      </c>
      <c r="R190" s="63">
        <f t="shared" si="81"/>
        <v>3.2850000000000002E-4</v>
      </c>
      <c r="S190" s="60" t="str">
        <f>IF($E54=R190,"Match","")</f>
        <v>Match</v>
      </c>
    </row>
    <row r="191" spans="8:19" x14ac:dyDescent="0.2">
      <c r="H191" s="29"/>
      <c r="I191" s="29"/>
      <c r="J191" s="29" t="s">
        <v>29</v>
      </c>
      <c r="K191" s="125">
        <v>3</v>
      </c>
      <c r="L191" s="27">
        <f t="shared" si="82"/>
        <v>4.2000000000000002E-4</v>
      </c>
      <c r="P191" s="62">
        <f t="shared" si="83"/>
        <v>3.0000000000000001E-6</v>
      </c>
      <c r="Q191" s="63">
        <f t="shared" si="80"/>
        <v>7.5000000000000007E-5</v>
      </c>
      <c r="R191" s="63">
        <f t="shared" si="81"/>
        <v>3.2850000000000002E-4</v>
      </c>
      <c r="S191" s="60" t="str">
        <f>IF($E55=R191,"Match","")</f>
        <v>Match</v>
      </c>
    </row>
    <row r="192" spans="8:19" x14ac:dyDescent="0.2">
      <c r="J192" s="19" t="s">
        <v>9</v>
      </c>
      <c r="K192" s="125">
        <v>9</v>
      </c>
      <c r="L192" s="27">
        <f t="shared" si="82"/>
        <v>1.2600000000000001E-3</v>
      </c>
      <c r="P192" s="62">
        <f t="shared" si="83"/>
        <v>9.0000000000000002E-6</v>
      </c>
      <c r="Q192" s="63">
        <f t="shared" si="80"/>
        <v>2.2499999999999999E-4</v>
      </c>
      <c r="R192" s="63">
        <f t="shared" si="81"/>
        <v>9.8549999999999983E-4</v>
      </c>
      <c r="S192" s="60" t="str">
        <f>IF($E19=R192,"Match","")</f>
        <v>Match</v>
      </c>
    </row>
    <row r="193" spans="8:19" x14ac:dyDescent="0.2">
      <c r="J193" s="1" t="s">
        <v>32</v>
      </c>
      <c r="K193" s="125">
        <v>3</v>
      </c>
      <c r="L193" s="27">
        <f t="shared" si="82"/>
        <v>4.2000000000000002E-4</v>
      </c>
      <c r="P193" s="62">
        <f t="shared" si="83"/>
        <v>3.0000000000000001E-6</v>
      </c>
      <c r="Q193" s="63">
        <f t="shared" si="80"/>
        <v>7.5000000000000007E-5</v>
      </c>
      <c r="R193" s="63">
        <f t="shared" si="81"/>
        <v>3.2850000000000002E-4</v>
      </c>
      <c r="S193" s="60" t="str">
        <f>IF($E59=R193,"Match","")</f>
        <v>Match</v>
      </c>
    </row>
    <row r="194" spans="8:19" x14ac:dyDescent="0.2">
      <c r="J194" s="1" t="s">
        <v>31</v>
      </c>
      <c r="K194" s="125">
        <v>6</v>
      </c>
      <c r="L194" s="27">
        <f t="shared" si="82"/>
        <v>8.4000000000000003E-4</v>
      </c>
      <c r="P194" s="62">
        <f t="shared" si="83"/>
        <v>6.0000000000000002E-6</v>
      </c>
      <c r="Q194" s="63">
        <f t="shared" si="80"/>
        <v>1.5000000000000001E-4</v>
      </c>
      <c r="R194" s="63">
        <f t="shared" si="81"/>
        <v>6.5700000000000003E-4</v>
      </c>
      <c r="S194" s="60" t="str">
        <f>IF($E58=R194,"Match","")</f>
        <v>Match</v>
      </c>
    </row>
    <row r="195" spans="8:19" x14ac:dyDescent="0.2">
      <c r="J195" s="1" t="s">
        <v>33</v>
      </c>
      <c r="K195" s="125">
        <v>3</v>
      </c>
      <c r="L195" s="27">
        <f t="shared" si="82"/>
        <v>4.2000000000000002E-4</v>
      </c>
      <c r="P195" s="62">
        <f t="shared" si="83"/>
        <v>3.0000000000000001E-6</v>
      </c>
      <c r="Q195" s="63">
        <f t="shared" si="80"/>
        <v>7.5000000000000007E-5</v>
      </c>
      <c r="R195" s="63">
        <f t="shared" si="81"/>
        <v>3.2850000000000002E-4</v>
      </c>
      <c r="S195" s="60" t="str">
        <f>IF($E60=R195,"Match","")</f>
        <v>Match</v>
      </c>
    </row>
    <row r="196" spans="8:19" x14ac:dyDescent="0.2">
      <c r="J196" s="1" t="s">
        <v>34</v>
      </c>
      <c r="K196" s="125">
        <v>15</v>
      </c>
      <c r="L196" s="27">
        <f t="shared" si="82"/>
        <v>2.0999999999999999E-3</v>
      </c>
      <c r="P196" s="62">
        <f t="shared" si="83"/>
        <v>1.5E-5</v>
      </c>
      <c r="Q196" s="63">
        <f t="shared" si="80"/>
        <v>3.7500000000000001E-4</v>
      </c>
      <c r="R196" s="63">
        <f t="shared" si="81"/>
        <v>1.6425000000000001E-3</v>
      </c>
      <c r="S196" s="60" t="str">
        <f>IF($E61=R196,"Match","")</f>
        <v>Match</v>
      </c>
    </row>
    <row r="198" spans="8:19" x14ac:dyDescent="0.2">
      <c r="L198" s="146" t="s">
        <v>140</v>
      </c>
      <c r="M198" s="147"/>
      <c r="N198" s="147"/>
      <c r="O198" s="148"/>
    </row>
    <row r="199" spans="8:19" ht="13.5" thickBot="1" x14ac:dyDescent="0.25">
      <c r="H199" s="30" t="s">
        <v>85</v>
      </c>
      <c r="I199" s="30"/>
      <c r="J199" s="30" t="s">
        <v>142</v>
      </c>
      <c r="K199" s="30" t="s">
        <v>96</v>
      </c>
      <c r="L199" s="45" t="s">
        <v>75</v>
      </c>
      <c r="M199" s="31" t="s">
        <v>76</v>
      </c>
      <c r="N199" s="31" t="s">
        <v>77</v>
      </c>
      <c r="O199" s="61" t="s">
        <v>87</v>
      </c>
    </row>
    <row r="200" spans="8:19" x14ac:dyDescent="0.2">
      <c r="H200" s="29"/>
      <c r="I200" s="29"/>
      <c r="J200" s="29" t="s">
        <v>60</v>
      </c>
      <c r="K200" s="121">
        <v>5.2500000000000003E-3</v>
      </c>
      <c r="L200" s="62">
        <f t="shared" ref="L200:L211" si="84">$K200/$K$2</f>
        <v>3.5000000000000004E-5</v>
      </c>
      <c r="M200" s="63">
        <f t="shared" ref="M200:M211" si="85">$L200*$B$3</f>
        <v>8.7500000000000013E-4</v>
      </c>
      <c r="N200" s="63">
        <f t="shared" ref="N200:N211" si="86">$M200*$B$4/2000</f>
        <v>3.8325000000000004E-3</v>
      </c>
      <c r="O200" s="60" t="str">
        <f t="shared" ref="O200:O206" si="87">IF($E51=N200,"Match","")</f>
        <v/>
      </c>
    </row>
    <row r="201" spans="8:19" x14ac:dyDescent="0.2">
      <c r="H201" s="29"/>
      <c r="I201" s="29"/>
      <c r="J201" s="29" t="s">
        <v>26</v>
      </c>
      <c r="K201" s="121">
        <v>1.32E-3</v>
      </c>
      <c r="L201" s="62">
        <f t="shared" si="84"/>
        <v>8.8000000000000004E-6</v>
      </c>
      <c r="M201" s="63">
        <f t="shared" si="85"/>
        <v>2.2000000000000001E-4</v>
      </c>
      <c r="N201" s="63">
        <f t="shared" si="86"/>
        <v>9.636E-4</v>
      </c>
      <c r="O201" s="60" t="str">
        <f t="shared" si="87"/>
        <v/>
      </c>
    </row>
    <row r="202" spans="8:19" x14ac:dyDescent="0.2">
      <c r="H202" s="29"/>
      <c r="I202" s="29"/>
      <c r="J202" s="29" t="s">
        <v>27</v>
      </c>
      <c r="K202" s="121">
        <v>2.7800000000000001E-5</v>
      </c>
      <c r="L202" s="62">
        <f t="shared" si="84"/>
        <v>1.8533333333333335E-7</v>
      </c>
      <c r="M202" s="63">
        <f t="shared" si="85"/>
        <v>4.6333333333333336E-6</v>
      </c>
      <c r="N202" s="63">
        <f t="shared" si="86"/>
        <v>2.0293999999999999E-5</v>
      </c>
      <c r="O202" s="60" t="str">
        <f t="shared" si="87"/>
        <v/>
      </c>
    </row>
    <row r="203" spans="8:19" x14ac:dyDescent="0.2">
      <c r="H203" s="29"/>
      <c r="I203" s="29"/>
      <c r="J203" s="29" t="s">
        <v>28</v>
      </c>
      <c r="K203" s="121">
        <v>3.9800000000000002E-4</v>
      </c>
      <c r="L203" s="62">
        <f t="shared" si="84"/>
        <v>2.6533333333333335E-6</v>
      </c>
      <c r="M203" s="63">
        <f t="shared" si="85"/>
        <v>6.6333333333333337E-5</v>
      </c>
      <c r="N203" s="63">
        <f t="shared" si="86"/>
        <v>2.9054000000000005E-4</v>
      </c>
      <c r="O203" s="60" t="str">
        <f t="shared" si="87"/>
        <v/>
      </c>
    </row>
    <row r="204" spans="8:19" x14ac:dyDescent="0.2">
      <c r="H204" s="29"/>
      <c r="I204" s="29"/>
      <c r="J204" s="29" t="s">
        <v>29</v>
      </c>
      <c r="K204" s="121">
        <v>8.4500000000000005E-4</v>
      </c>
      <c r="L204" s="62">
        <f t="shared" si="84"/>
        <v>5.6333333333333333E-6</v>
      </c>
      <c r="M204" s="63">
        <f t="shared" si="85"/>
        <v>1.4083333333333333E-4</v>
      </c>
      <c r="N204" s="63">
        <f t="shared" si="86"/>
        <v>6.1685000000000006E-4</v>
      </c>
      <c r="O204" s="60" t="str">
        <f t="shared" si="87"/>
        <v/>
      </c>
    </row>
    <row r="205" spans="8:19" x14ac:dyDescent="0.2">
      <c r="H205" s="29"/>
      <c r="I205" s="29"/>
      <c r="J205" s="29" t="s">
        <v>61</v>
      </c>
      <c r="K205" s="121">
        <v>2.4800000000000001E-4</v>
      </c>
      <c r="L205" s="62">
        <f t="shared" si="84"/>
        <v>1.6533333333333333E-6</v>
      </c>
      <c r="M205" s="63">
        <f t="shared" si="85"/>
        <v>4.1333333333333333E-5</v>
      </c>
      <c r="N205" s="63">
        <f t="shared" si="86"/>
        <v>1.8104000000000001E-4</v>
      </c>
      <c r="O205" s="60" t="str">
        <f t="shared" si="87"/>
        <v/>
      </c>
    </row>
    <row r="206" spans="8:19" x14ac:dyDescent="0.2">
      <c r="J206" s="1" t="s">
        <v>30</v>
      </c>
      <c r="K206" s="121">
        <v>6.0200000000000002E-3</v>
      </c>
      <c r="L206" s="62">
        <f t="shared" si="84"/>
        <v>4.0133333333333338E-5</v>
      </c>
      <c r="M206" s="63">
        <f t="shared" si="85"/>
        <v>1.0033333333333335E-3</v>
      </c>
      <c r="N206" s="63">
        <f t="shared" si="86"/>
        <v>4.3946000000000002E-3</v>
      </c>
      <c r="O206" s="60" t="str">
        <f t="shared" si="87"/>
        <v/>
      </c>
    </row>
    <row r="207" spans="8:19" x14ac:dyDescent="0.2">
      <c r="J207" s="19" t="s">
        <v>9</v>
      </c>
      <c r="K207" s="121">
        <v>1.5100000000000001E-3</v>
      </c>
      <c r="L207" s="62">
        <f t="shared" si="84"/>
        <v>1.0066666666666666E-5</v>
      </c>
      <c r="M207" s="63">
        <f t="shared" si="85"/>
        <v>2.5166666666666664E-4</v>
      </c>
      <c r="N207" s="63">
        <f t="shared" si="86"/>
        <v>1.1022999999999999E-3</v>
      </c>
      <c r="O207" s="60" t="str">
        <f>IF($E19=N207,"Match","")</f>
        <v/>
      </c>
    </row>
    <row r="208" spans="8:19" x14ac:dyDescent="0.2">
      <c r="J208" s="1" t="s">
        <v>31</v>
      </c>
      <c r="K208" s="121">
        <v>3.0000000000000001E-3</v>
      </c>
      <c r="L208" s="62">
        <f t="shared" si="84"/>
        <v>2.0000000000000002E-5</v>
      </c>
      <c r="M208" s="63">
        <f t="shared" si="85"/>
        <v>5.0000000000000001E-4</v>
      </c>
      <c r="N208" s="63">
        <f t="shared" si="86"/>
        <v>2.1900000000000001E-3</v>
      </c>
      <c r="O208" s="60" t="str">
        <f>IF($E58=N208,"Match","")</f>
        <v/>
      </c>
    </row>
    <row r="209" spans="8:19" x14ac:dyDescent="0.2">
      <c r="J209" s="1" t="s">
        <v>32</v>
      </c>
      <c r="K209" s="121">
        <v>1.13E-4</v>
      </c>
      <c r="L209" s="62">
        <f t="shared" si="84"/>
        <v>7.5333333333333336E-7</v>
      </c>
      <c r="M209" s="63">
        <f t="shared" si="85"/>
        <v>1.8833333333333335E-5</v>
      </c>
      <c r="N209" s="63">
        <f t="shared" si="86"/>
        <v>8.2490000000000005E-5</v>
      </c>
      <c r="O209" s="60" t="str">
        <f>IF($E59=N209,"Match","")</f>
        <v/>
      </c>
    </row>
    <row r="210" spans="8:19" x14ac:dyDescent="0.2">
      <c r="J210" s="1" t="s">
        <v>33</v>
      </c>
      <c r="K210" s="121">
        <v>8.4500000000000006E-2</v>
      </c>
      <c r="L210" s="62">
        <f t="shared" si="84"/>
        <v>5.6333333333333333E-4</v>
      </c>
      <c r="M210" s="63">
        <f t="shared" si="85"/>
        <v>1.4083333333333333E-2</v>
      </c>
      <c r="N210" s="63">
        <f t="shared" si="86"/>
        <v>6.1685000000000004E-2</v>
      </c>
      <c r="O210" s="60" t="str">
        <f>IF($E60=N210,"Match","")</f>
        <v/>
      </c>
    </row>
    <row r="211" spans="8:19" x14ac:dyDescent="0.2">
      <c r="J211" s="1" t="s">
        <v>34</v>
      </c>
      <c r="K211" s="121">
        <v>6.8300000000000001E-4</v>
      </c>
      <c r="L211" s="62">
        <f t="shared" si="84"/>
        <v>4.5533333333333335E-6</v>
      </c>
      <c r="M211" s="63">
        <f t="shared" si="85"/>
        <v>1.1383333333333334E-4</v>
      </c>
      <c r="N211" s="63">
        <f t="shared" si="86"/>
        <v>4.9859000000000004E-4</v>
      </c>
      <c r="O211" s="60" t="str">
        <f>IF($E61=N211,"Match","")</f>
        <v/>
      </c>
    </row>
    <row r="212" spans="8:19" x14ac:dyDescent="0.2">
      <c r="K212" s="27"/>
      <c r="L212" s="28"/>
      <c r="M212" s="28"/>
      <c r="N212" s="28"/>
      <c r="O212" s="23"/>
    </row>
    <row r="213" spans="8:19" ht="13.5" thickBot="1" x14ac:dyDescent="0.25">
      <c r="H213" s="30" t="s">
        <v>86</v>
      </c>
      <c r="I213" s="30"/>
      <c r="J213" s="30" t="s">
        <v>86</v>
      </c>
      <c r="K213" s="6"/>
      <c r="L213" s="6"/>
      <c r="M213" s="31" t="s">
        <v>76</v>
      </c>
      <c r="N213" s="31" t="s">
        <v>77</v>
      </c>
      <c r="O213" s="61" t="s">
        <v>87</v>
      </c>
      <c r="P213" s="64"/>
      <c r="Q213" s="31" t="s">
        <v>76</v>
      </c>
      <c r="R213" s="31" t="s">
        <v>77</v>
      </c>
      <c r="S213" s="30" t="s">
        <v>87</v>
      </c>
    </row>
    <row r="214" spans="8:19" x14ac:dyDescent="0.2">
      <c r="M214" s="21">
        <f>SUM(M200:M211)+SUM(M165:M184)+M160+M156</f>
        <v>2.9037996016666668E-2</v>
      </c>
      <c r="N214" s="21">
        <f>SUM(N200:N211)+SUM(N165:N184)+N160+N156</f>
        <v>0.127186422553</v>
      </c>
      <c r="O214" s="60" t="str">
        <f>IF(E20=N214,"Match","")</f>
        <v/>
      </c>
      <c r="P214" s="65"/>
      <c r="Q214" s="21">
        <f>SUM(Q188:Q196)+SUM(Q165:Q184)+M161+M157</f>
        <v>1.4138067160714285E-2</v>
      </c>
      <c r="R214" s="21">
        <f>SUM(R188:R196)+SUM(R165:R184)+N161+N157</f>
        <v>6.1924734163928567E-2</v>
      </c>
      <c r="S214" s="23" t="str">
        <f>IF(E20=R214,"Match","")</f>
        <v>Match</v>
      </c>
    </row>
  </sheetData>
  <sheetProtection password="ED7B" sheet="1" objects="1" scenarios="1" selectLockedCells="1"/>
  <protectedRanges>
    <protectedRange sqref="B13:B14 B15:D18 B3 B5 B7:B9" name="Input Cells"/>
    <protectedRange sqref="B4" name="Input Cells_1"/>
    <protectedRange sqref="B10" name="Input Cells_2"/>
  </protectedRanges>
  <mergeCells count="21">
    <mergeCell ref="L198:O198"/>
    <mergeCell ref="P163:S163"/>
    <mergeCell ref="P186:S186"/>
    <mergeCell ref="K134:L134"/>
    <mergeCell ref="M134:N134"/>
    <mergeCell ref="O134:P134"/>
    <mergeCell ref="Q134:R134"/>
    <mergeCell ref="L163:O163"/>
    <mergeCell ref="N61:O61"/>
    <mergeCell ref="P61:Q61"/>
    <mergeCell ref="N75:O75"/>
    <mergeCell ref="P75:Q75"/>
    <mergeCell ref="F51:F61"/>
    <mergeCell ref="F29:F30"/>
    <mergeCell ref="F31:F50"/>
    <mergeCell ref="F15:F16"/>
    <mergeCell ref="A1:F1"/>
    <mergeCell ref="F13:F14"/>
    <mergeCell ref="F23:F26"/>
    <mergeCell ref="B12:C12"/>
    <mergeCell ref="B28:C28"/>
  </mergeCells>
  <conditionalFormatting sqref="B10">
    <cfRule type="cellIs" dxfId="0" priority="1" operator="equal">
      <formula>$O$2</formula>
    </cfRule>
  </conditionalFormatting>
  <dataValidations count="4">
    <dataValidation type="list" allowBlank="1" showInputMessage="1" showErrorMessage="1" sqref="B8">
      <formula1>"1, 2, 4, 5, 6"</formula1>
    </dataValidation>
    <dataValidation type="list" allowBlank="1" showInputMessage="1" showErrorMessage="1" sqref="B7">
      <formula1>"Normal, Tangential"</formula1>
    </dataValidation>
    <dataValidation type="list" allowBlank="1" showInputMessage="1" showErrorMessage="1" sqref="B5">
      <formula1>"Utility, Industrial, Commercial, Residential"</formula1>
    </dataValidation>
    <dataValidation type="decimal" operator="lessThanOrEqual" allowBlank="1" showInputMessage="1" showErrorMessage="1" sqref="B4">
      <formula1>8760</formula1>
    </dataValidation>
  </dataValidations>
  <pageMargins left="0.7" right="0.7" top="0.75" bottom="0.75" header="0.3" footer="0.3"/>
  <pageSetup scale="76" orientation="portrait" r:id="rId1"/>
  <headerFooter>
    <oddHeader>&amp;L&amp;G</oddHeader>
    <oddFooter>&amp;CPage &amp;P of &amp;N&amp;RVersion 1.0
November 29,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Boiler Oil</vt:lpstr>
      <vt:lpstr>'Boiler Oil'!Print_Area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2018-11-29T18:39:53Z</cp:lastPrinted>
  <dcterms:created xsi:type="dcterms:W3CDTF">2018-06-18T20:27:23Z</dcterms:created>
  <dcterms:modified xsi:type="dcterms:W3CDTF">2018-11-29T18:40:33Z</dcterms:modified>
</cp:coreProperties>
</file>